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png" ContentType="image/png"/>
  <Default Extension="jpeg" ContentType="image/jpeg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4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5.xml" ContentType="application/vnd.openxmlformats-officedocument.drawing+xml"/>
  <Override PartName="/xl/worksheets/sheet8.xml" ContentType="application/vnd.openxmlformats-officedocument.spreadsheetml.worksheet+xml"/>
  <Override PartName="/xl/drawings/drawing6.xml" ContentType="application/vnd.openxmlformats-officedocument.drawing+xml"/>
  <Override PartName="/xl/worksheets/sheet9.xml" ContentType="application/vnd.openxmlformats-officedocument.spreadsheetml.worksheet+xml"/>
  <Override PartName="/xl/drawings/drawing7.xml" ContentType="application/vnd.openxmlformats-officedocument.drawing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drawings/drawing8.xml" ContentType="application/vnd.openxmlformats-officedocument.drawing+xml"/>
  <Override PartName="/xl/worksheets/sheet14.xml" ContentType="application/vnd.openxmlformats-officedocument.spreadsheetml.worksheet+xml"/>
  <Override PartName="/xl/drawings/drawing9.xml" ContentType="application/vnd.openxmlformats-officedocument.drawing+xml"/>
  <Override PartName="/xl/worksheets/sheet15.xml" ContentType="application/vnd.openxmlformats-officedocument.spreadsheetml.worksheet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heets/sheet1.xml" ContentType="application/vnd.openxmlformats-officedocument.spreadsheetml.chart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drawings/drawing11.xml" ContentType="application/vnd.openxmlformats-officedocument.drawing+xml"/>
  <Override PartName="/xl/worksheets/sheet18.xml" ContentType="application/vnd.openxmlformats-officedocument.spreadsheetml.worksheet+xml"/>
  <Override PartName="/xl/drawings/drawing12.xml" ContentType="application/vnd.openxmlformats-officedocument.drawing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drawings/drawing13.xml" ContentType="application/vnd.openxmlformats-officedocument.drawing+xml"/>
  <Override PartName="/xl/worksheets/sheet22.xml" ContentType="application/vnd.openxmlformats-officedocument.spreadsheetml.worksheet+xml"/>
  <Override PartName="/xl/drawings/drawing14.xml" ContentType="application/vnd.openxmlformats-officedocument.drawing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Default Extension="emf" ContentType="image/x-emf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 codeName="ThisWorkbook"/>
  <bookViews>
    <workbookView xWindow="480" yWindow="60" windowWidth="7995" windowHeight="5895" tabRatio="579" firstSheet="7" activeTab="7"/>
  </bookViews>
  <sheets>
    <sheet name="MOVIMIENTOS DEL DIA" sheetId="28" r:id="rId2"/>
    <sheet name="CONC. MOV" sheetId="31" r:id="rId3"/>
    <sheet name="CONCILIACION " sheetId="32" r:id="rId4"/>
    <sheet name="REGISTROS CARGOS DEL DIA" sheetId="27" r:id="rId5"/>
    <sheet name="REGISTRO TRAMITES DEL DIA " sheetId="11" r:id="rId6"/>
    <sheet name="REGISTRO ALIMENTARIO" sheetId="25" state="hidden" r:id="rId7"/>
    <sheet name="FIDEICOMISO" sheetId="34" state="hidden" r:id="rId8"/>
    <sheet name="OAI " sheetId="26" r:id="rId9"/>
    <sheet name="INGRESOS ACUMULADOS " sheetId="23" state="hidden" r:id="rId10"/>
    <sheet name=",," sheetId="24" state="hidden" r:id="rId11"/>
    <sheet name="R POR CTA." sheetId="12" state="hidden" r:id="rId12"/>
    <sheet name="R X CTAS " sheetId="20" state="hidden" r:id="rId13"/>
    <sheet name="PAGOS EN LINEAS" sheetId="30" state="hidden" r:id="rId14"/>
    <sheet name="prueba formulas 1 " sheetId="40" state="hidden" r:id="rId15"/>
    <sheet name="viejo " sheetId="41" state="hidden" r:id="rId16"/>
    <sheet name="Gráfico1" sheetId="45" state="hidden" r:id="rId17"/>
    <sheet name="ING. CAJA GRAL. MIP DEL DIA" sheetId="17" state="hidden" r:id="rId18"/>
    <sheet name="PENDT" sheetId="21" state="hidden" r:id="rId19"/>
    <sheet name="LIBRO TRAMITES" sheetId="18" state="hidden" r:id="rId20"/>
    <sheet name="SIRITE" sheetId="29" state="hidden" r:id="rId21"/>
    <sheet name="SOLO P. RESUMEN" sheetId="35" state="hidden" r:id="rId22"/>
    <sheet name="COORD. FIN" sheetId="36" state="hidden" r:id="rId23"/>
    <sheet name="ING SIRITE" sheetId="42" state="hidden" r:id="rId24"/>
    <sheet name=" DGII" sheetId="43" state="hidden" r:id="rId25"/>
    <sheet name="Hoja1" sheetId="44" state="hidden" r:id="rId26"/>
  </sheets>
  <externalReferences>
    <externalReference r:id="rId29"/>
    <externalReference r:id="rId30"/>
    <externalReference r:id="rId31"/>
    <externalReference r:id="rId32"/>
  </externalReferences>
  <definedNames>
    <definedName name="_xlfn.SINGLE" hidden="1">#NAME?</definedName>
    <definedName name="_xlnm.Print_Area" localSheetId="16">'ING. CAJA GRAL. MIP DEL DIA'!$B$1:$K$53</definedName>
    <definedName name="_xlnm.Print_Area" localSheetId="18">'LIBRO TRAMITES'!$A$1:$D$30</definedName>
    <definedName name="_xlnm.Print_Area" localSheetId="10">'R POR CTA.'!$A$1:$D$27</definedName>
    <definedName name="_xlnm.Print_Area" localSheetId="11">'R X CTAS '!$A$1:$D$21</definedName>
    <definedName name="_xlnm.Print_Area" localSheetId="4">'REGISTRO TRAMITES DEL DIA '!$A$9:$R$92</definedName>
  </definedNames>
  <calcPr fullCalcOnLoad="1"/>
</workbook>
</file>

<file path=xl/calcChain.xml><?xml version="1.0" encoding="utf-8"?>
<calcChain xmlns="http://schemas.openxmlformats.org/spreadsheetml/2006/main">
  <c r="D27" i="28" l="1"/>
</calcChain>
</file>

<file path=xl/sharedStrings.xml><?xml version="1.0" encoding="utf-8"?>
<sst xmlns="http://schemas.openxmlformats.org/spreadsheetml/2006/main" count="1733" uniqueCount="758">
  <si>
    <t>Original</t>
  </si>
  <si>
    <t>Cancelacion</t>
  </si>
  <si>
    <t>Republica Dominicana</t>
  </si>
  <si>
    <t>Duplicado</t>
  </si>
  <si>
    <t xml:space="preserve">Preparado por </t>
  </si>
  <si>
    <t>Director de Auditoria</t>
  </si>
  <si>
    <t>Enc. Dpto. de Tesorería</t>
  </si>
  <si>
    <t xml:space="preserve">Auditado por </t>
  </si>
  <si>
    <t>Enc. Dpto. Tesorería</t>
  </si>
  <si>
    <t>Lic. Marino Natera R.</t>
  </si>
  <si>
    <t>CANT.</t>
  </si>
  <si>
    <t>VALOR</t>
  </si>
  <si>
    <t>DGII</t>
  </si>
  <si>
    <t>FIDEICOMISO</t>
  </si>
  <si>
    <t>FECHA</t>
  </si>
  <si>
    <t xml:space="preserve">TOTAL </t>
  </si>
  <si>
    <t>O - 6345</t>
  </si>
  <si>
    <t>T - 11345</t>
  </si>
  <si>
    <t>R.T - 5045</t>
  </si>
  <si>
    <t>E.O - 4720</t>
  </si>
  <si>
    <t>G - 2945</t>
  </si>
  <si>
    <t>L.O - 2945</t>
  </si>
  <si>
    <t>C - 605</t>
  </si>
  <si>
    <t>D - 805</t>
  </si>
  <si>
    <t>TOTAL ====&gt;</t>
  </si>
  <si>
    <t>D/IMP.</t>
  </si>
  <si>
    <t>A - 805</t>
  </si>
  <si>
    <t>Flavio Augusto Suazo F.</t>
  </si>
  <si>
    <t xml:space="preserve">NOMBRE CUENTA </t>
  </si>
  <si>
    <t>VALORES EN RD$</t>
  </si>
  <si>
    <t xml:space="preserve">TOTALES EN RD$ </t>
  </si>
  <si>
    <t>TEC.,RRHH Y OTROS (PSD)</t>
  </si>
  <si>
    <t xml:space="preserve">PSIQUIATRIA </t>
  </si>
  <si>
    <t xml:space="preserve">MAS : </t>
  </si>
  <si>
    <t>INGRESOS RECAUDADOS POR PAGO IMP. BANRESERVAS =======&gt; RD$</t>
  </si>
  <si>
    <t>COD.</t>
  </si>
  <si>
    <t xml:space="preserve">CONCEPTOS  </t>
  </si>
  <si>
    <t>PRECIO UNIT.</t>
  </si>
  <si>
    <t>CODIGO</t>
  </si>
  <si>
    <t>Cantidad    por       Tramite</t>
  </si>
  <si>
    <t>Detalle del Tramite</t>
  </si>
  <si>
    <t>Costo                Unitario</t>
  </si>
  <si>
    <t>001</t>
  </si>
  <si>
    <t>003</t>
  </si>
  <si>
    <r>
      <t>Traspaso</t>
    </r>
    <r>
      <rPr>
        <sz val="12"/>
        <rFont val="Arial"/>
        <family val="2"/>
      </rPr>
      <t xml:space="preserve"> con emision Original, para Tenencia</t>
    </r>
  </si>
  <si>
    <t>005</t>
  </si>
  <si>
    <r>
      <t>Renovacion</t>
    </r>
    <r>
      <rPr>
        <sz val="12"/>
        <rFont val="Arial"/>
        <family val="2"/>
      </rPr>
      <t xml:space="preserve"> Tenencia </t>
    </r>
  </si>
  <si>
    <t>007</t>
  </si>
  <si>
    <r>
      <t>Emisión Original,</t>
    </r>
    <r>
      <rPr>
        <sz val="12"/>
        <rFont val="Arial"/>
        <family val="2"/>
      </rPr>
      <t xml:space="preserve"> Renov. y Traspaso, Incluye Guard. Privados para emisión de escop. y rifles y pistolas de aire.</t>
    </r>
  </si>
  <si>
    <t>008</t>
  </si>
  <si>
    <r>
      <t>Licencia Oficial</t>
    </r>
    <r>
      <rPr>
        <sz val="12"/>
        <rFont val="Arial"/>
        <family val="2"/>
      </rPr>
      <t>, para cualquier tipo de armas de fuego</t>
    </r>
  </si>
  <si>
    <t>009</t>
  </si>
  <si>
    <t>012</t>
  </si>
  <si>
    <r>
      <t>Instituciones</t>
    </r>
    <r>
      <rPr>
        <sz val="12"/>
        <rFont val="Arial"/>
        <family val="2"/>
      </rPr>
      <t xml:space="preserve"> con Exoneracion por Ley Renov. Licencia</t>
    </r>
  </si>
  <si>
    <t>013</t>
  </si>
  <si>
    <t>015</t>
  </si>
  <si>
    <t>Enc. Dpto. Tesoreria</t>
  </si>
  <si>
    <t xml:space="preserve">VALOR </t>
  </si>
  <si>
    <t>Ministerio de Interior y Policia</t>
  </si>
  <si>
    <t>Departamento de Tesorería</t>
  </si>
  <si>
    <t xml:space="preserve"> </t>
  </si>
  <si>
    <t xml:space="preserve">BANRESERVAS / CAJA MIP </t>
  </si>
  <si>
    <t>INGRESOS RECAUDADOS POR LA SECCION CAJA -MIP</t>
  </si>
  <si>
    <t xml:space="preserve">Revisado Por </t>
  </si>
  <si>
    <t>Visto Bueno</t>
  </si>
  <si>
    <t xml:space="preserve">Autorizado por  </t>
  </si>
  <si>
    <t>AJUSTE</t>
  </si>
  <si>
    <t>Valor en RD$</t>
  </si>
  <si>
    <t>DIR. GRAL. IMP. INT. CTA. No. 010-238489-4</t>
  </si>
  <si>
    <t>VALOR  TOTAL</t>
  </si>
  <si>
    <t>AJUSTES:</t>
  </si>
  <si>
    <t>Balance Anterior Ingresos extrapresupuestarios ==</t>
  </si>
  <si>
    <r>
      <t>Mas:</t>
    </r>
    <r>
      <rPr>
        <b/>
        <sz val="12"/>
        <rFont val="Times New Roman"/>
        <family val="1"/>
      </rPr>
      <t xml:space="preserve"> Nota de credito por diferencia de menos </t>
    </r>
    <r>
      <rPr>
        <sz val="12"/>
        <rFont val="Times New Roman"/>
        <family val="1"/>
      </rPr>
      <t>====</t>
    </r>
  </si>
  <si>
    <r>
      <t xml:space="preserve">Menos: </t>
    </r>
    <r>
      <rPr>
        <b/>
        <sz val="12"/>
        <rFont val="Times New Roman"/>
        <family val="1"/>
      </rPr>
      <t xml:space="preserve">Nota de debito por diferencia demas </t>
    </r>
    <r>
      <rPr>
        <sz val="12"/>
        <rFont val="Times New Roman"/>
        <family val="1"/>
      </rPr>
      <t>=====</t>
    </r>
  </si>
  <si>
    <t>Santo Domingo, D.N</t>
  </si>
  <si>
    <t>A la              : Encargada del Departamento de Contabilidad</t>
  </si>
  <si>
    <t>Del               :  Tesorero</t>
  </si>
  <si>
    <t xml:space="preserve">Ref.              : Oficio No.8108 d/f 18/6/98, Memorandum No.82440 d/f  23/6/98, Memo-  </t>
  </si>
  <si>
    <t xml:space="preserve">                       randum No.8751 d/f 23/6/98,  Memorandum No.14377 d/f 24/11/99, Me-</t>
  </si>
  <si>
    <t xml:space="preserve">                       morandum No.14836, d/f 2/12/98,  Memorandum No.5825 d/f 11/5/99,</t>
  </si>
  <si>
    <t xml:space="preserve">                       Memorandum No.6824,d/f 15/6/2000, Resolución No.07 d/f  01/9/2000, </t>
  </si>
  <si>
    <t xml:space="preserve">                       Resolución  No.08 d/f 26/9/2000,  Resolución No.09 d/f 27/9/2000, Reso-</t>
  </si>
  <si>
    <t xml:space="preserve">                       lución No.11/01 d/f 21/06/01, Resolución No. 14/01, d/f 13/6/01; Resolu- </t>
  </si>
  <si>
    <t>Distribucion de Fondos del Ministerio de Interior y Policia Cta. No. 010-250180-7</t>
  </si>
  <si>
    <t xml:space="preserve">Reporte de Tramites Bancarios por Conceptos </t>
  </si>
  <si>
    <t>Detalle</t>
  </si>
  <si>
    <t>Cantidad</t>
  </si>
  <si>
    <t xml:space="preserve">P/Unit. </t>
  </si>
  <si>
    <t xml:space="preserve">Valor </t>
  </si>
  <si>
    <t>Traspaso</t>
  </si>
  <si>
    <t>Renovacion de Tenencia</t>
  </si>
  <si>
    <t>Oririgal, Renovacion y Traspasos Escop.</t>
  </si>
  <si>
    <t>Instituciones con Exoneracion ( cia.)</t>
  </si>
  <si>
    <t>Licencia Oficial</t>
  </si>
  <si>
    <t>Duplicados</t>
  </si>
  <si>
    <t>Diferencia en tramite Instit.con Exon. ( cia.)</t>
  </si>
  <si>
    <r>
      <t>Mas:</t>
    </r>
    <r>
      <rPr>
        <i/>
        <sz val="12"/>
        <rFont val="Arial"/>
        <family val="2"/>
      </rPr>
      <t xml:space="preserve"> N/Cred. Por Ingresos extra según anexo ===== RD$</t>
    </r>
  </si>
  <si>
    <t xml:space="preserve">Total de Tramites del Dia ===============================&gt; </t>
  </si>
  <si>
    <t xml:space="preserve">Total Recaudacion de Ingresos por Tramites ================================&gt; RD$ </t>
  </si>
  <si>
    <t>Gerencia Financiera</t>
  </si>
  <si>
    <t>Total de Transferencias Realizadas del mes == RD$</t>
  </si>
  <si>
    <t xml:space="preserve">SUB TOTAL GENERAL =========================================================&gt; </t>
  </si>
  <si>
    <t>TOTAL DE INGRESOS RECAUDADOS POR BANRESERVAS ====================&gt; RD$</t>
  </si>
  <si>
    <t>Reporte por Licencias Emitidas con Impuestos Pagados en el Banco de Reservas</t>
  </si>
  <si>
    <t>AJUSTE :</t>
  </si>
  <si>
    <t xml:space="preserve">Revisado por </t>
  </si>
  <si>
    <t xml:space="preserve">DE LICENCIAS DE ARMAS BANRESERVAS / CAJA GENERAL MIP </t>
  </si>
  <si>
    <t xml:space="preserve">REPORTE DE INGRESOS S/LEY No.36, RESOL.02-05 Y 06 SOBRE COBRO DE IMPUESTOS </t>
  </si>
  <si>
    <t>INGRESOS RECAUDADOS SEGÚN LEY No.36 Y RESOL. 02-05 Y 06 ===== RD$</t>
  </si>
  <si>
    <t>Flavio A. Suazo F.</t>
  </si>
  <si>
    <t>Licda. Kenia Diaz Lima</t>
  </si>
  <si>
    <t>Preparado Por</t>
  </si>
  <si>
    <r>
      <t>Licda. Kenia Diaz Lima</t>
    </r>
    <r>
      <rPr>
        <b/>
        <i/>
        <sz val="12"/>
        <rFont val="Times New Roman"/>
        <family val="1"/>
      </rPr>
      <t xml:space="preserve">                                                  </t>
    </r>
    <r>
      <rPr>
        <b/>
        <i/>
        <u val="single"/>
        <sz val="12"/>
        <rFont val="Times New Roman"/>
        <family val="1"/>
      </rPr>
      <t>Flavio A. Suazo F</t>
    </r>
    <r>
      <rPr>
        <b/>
        <i/>
        <sz val="12"/>
        <rFont val="Times New Roman"/>
        <family val="1"/>
      </rPr>
      <t>.</t>
    </r>
  </si>
  <si>
    <t>Preparado Por                                                                  Enc. Dpto. Tesorería.</t>
  </si>
  <si>
    <t xml:space="preserve">MANEJO DE BALANCE:   </t>
  </si>
  <si>
    <t xml:space="preserve">                                                                                                             MONTO PENDIENTE DE TRANSFERIR  A LA FECHA</t>
  </si>
  <si>
    <t>DE LICENCIAS DE ARMAS BANRESERVAS / CAJA GENERAL MIP Y</t>
  </si>
  <si>
    <t>TOTAL PENDIENTE DE TRANSFERIR =================================&gt; RD$</t>
  </si>
  <si>
    <t>Deposito de Ingresos Caja General. Mip =====</t>
  </si>
  <si>
    <t>Sub-totales =========================</t>
  </si>
  <si>
    <r>
      <t>Mas:</t>
    </r>
    <r>
      <rPr>
        <sz val="12"/>
        <rFont val="Arial"/>
        <family val="2"/>
      </rPr>
      <t xml:space="preserve"> N/Cred. Por Ingresos extra,  ========================&gt; </t>
    </r>
  </si>
  <si>
    <t>Lic. Elcido R. Amarante</t>
  </si>
  <si>
    <t xml:space="preserve">                       ción No. 15/01, d/f 13/6/01, Resolución  No.03 d/f 29/11/01,  Resolución </t>
  </si>
  <si>
    <t xml:space="preserve">                       No.05 d/f 13/11/01,  Resolución No. 08-05,  Memorandum No. 2345 d/f  </t>
  </si>
  <si>
    <r>
      <t xml:space="preserve">             </t>
    </r>
    <r>
      <rPr>
        <u val="single"/>
        <sz val="12"/>
        <rFont val="Arial"/>
        <family val="2"/>
      </rPr>
      <t>Director Administrativo y Financiero</t>
    </r>
  </si>
  <si>
    <t>Ministro o Funcionario Autorizado</t>
  </si>
  <si>
    <t>TOTAL INGRESOS ESPECIALES A TRANSFERIR ==&gt; RD$</t>
  </si>
  <si>
    <t>TOTAL GRAL. INGRESOS ESPECIALES A TRANSF. =&gt;RD$</t>
  </si>
  <si>
    <t>TOTAL ===&gt; RD$</t>
  </si>
  <si>
    <r>
      <t>Mas:</t>
    </r>
    <r>
      <rPr>
        <sz val="12"/>
        <rFont val="Arial"/>
        <family val="2"/>
      </rPr>
      <t xml:space="preserve"> Ajustes. Por Ingresos Extra,</t>
    </r>
  </si>
  <si>
    <t>TOTAL GRAL. INGRESOS NETO  ====================&gt;RD$</t>
  </si>
  <si>
    <t>RRHH - PSD</t>
  </si>
  <si>
    <t>TEC.,RRHH - PSD</t>
  </si>
  <si>
    <t>019</t>
  </si>
  <si>
    <t>020</t>
  </si>
  <si>
    <t>021</t>
  </si>
  <si>
    <t>023</t>
  </si>
  <si>
    <t>024</t>
  </si>
  <si>
    <t>Adendum para Porte (Renovacion)</t>
  </si>
  <si>
    <t>Renovacion de  Escopeta</t>
  </si>
  <si>
    <t>Traspaso de Escopeta</t>
  </si>
  <si>
    <t>Original de Escopeta</t>
  </si>
  <si>
    <t>Adendum Para Porte (Original)</t>
  </si>
  <si>
    <t>Original Asignacion</t>
  </si>
  <si>
    <t>T-ES</t>
  </si>
  <si>
    <t>R-ES</t>
  </si>
  <si>
    <t>O-ES</t>
  </si>
  <si>
    <t>A-PO</t>
  </si>
  <si>
    <t>Adendum Para Porte (Renovacion)</t>
  </si>
  <si>
    <t>Renovacion de Escopeta</t>
  </si>
  <si>
    <r>
      <t>Menos:</t>
    </r>
    <r>
      <rPr>
        <b/>
        <sz val="12"/>
        <rFont val="Arial"/>
        <family val="2"/>
      </rPr>
      <t xml:space="preserve"> Debito</t>
    </r>
  </si>
  <si>
    <t xml:space="preserve">Direcc. Gral. Imp. Int.  </t>
  </si>
  <si>
    <t xml:space="preserve">Fideicomiso    </t>
  </si>
  <si>
    <t xml:space="preserve">Psiquiatria               </t>
  </si>
  <si>
    <t xml:space="preserve">RRHH-PSD                    </t>
  </si>
  <si>
    <t xml:space="preserve">Microemp. De Mi Barrio   </t>
  </si>
  <si>
    <t xml:space="preserve">                                                            A U X I L I A R E S</t>
  </si>
  <si>
    <t>Costo                              Unitario</t>
  </si>
  <si>
    <t>Cta. Colectora Direccion General del MIP                    Cta.No. 010-250180-7</t>
  </si>
  <si>
    <t xml:space="preserve">                                                          Preparado por </t>
  </si>
  <si>
    <t>TOTAL  INGRESOS GENERAL CTA. COLECTOR DE RECURSOS DIRECTOS MIP No. 010-252207-3</t>
  </si>
  <si>
    <t xml:space="preserve">PSIQUIATRIA         </t>
  </si>
  <si>
    <t>Cuenta Colector R.D. MIP ===================================</t>
  </si>
  <si>
    <t>Cuenta Operativa R.D. MIP  ====================================</t>
  </si>
  <si>
    <t>Cta. Operativa R.D. MIP</t>
  </si>
  <si>
    <t>Dir. UAI Contraloria Gral. De la RD</t>
  </si>
  <si>
    <t xml:space="preserve">                       09/03/06, Memorandum No. 3422 d/f 16/03/06, Suscrito por el Ministro  </t>
  </si>
  <si>
    <r>
      <rPr>
        <b/>
        <u val="single"/>
        <sz val="10"/>
        <rFont val="Arial"/>
        <family val="2"/>
      </rPr>
      <t>Menos:</t>
    </r>
    <r>
      <rPr>
        <sz val="10"/>
        <rFont val="Arial"/>
        <family val="0"/>
      </rPr>
      <t>Aviso de Debito por reclamacion autorizada REC-BR/01-2016 aplicada por el Banco en fecha 02/02/16, no registrada</t>
    </r>
  </si>
  <si>
    <t>DISTRIBUCION  DE INGRESOS BANRESERVAS</t>
  </si>
  <si>
    <t>Cta. Colector de Recursos Directos del MIP   (CUT)                 No. 010-252207-3</t>
  </si>
  <si>
    <t xml:space="preserve">Cta. Colector R.D. MIP Hacienda   </t>
  </si>
  <si>
    <t>Cta.  Colector R.D. MIP</t>
  </si>
  <si>
    <t xml:space="preserve">Cta. Colector de Recursos Directos del MIP   (CUT)             </t>
  </si>
  <si>
    <t>REGISTROS DE INGRESOS DIARIOS</t>
  </si>
  <si>
    <t>MANEJO DE BALANCES</t>
  </si>
  <si>
    <t>Menos:  Por Aviso de Debito por Reclamacion autorizada por el Banco en fecha 07/07/2016</t>
  </si>
  <si>
    <r>
      <t>Traspaso</t>
    </r>
    <r>
      <rPr>
        <sz val="14"/>
        <rFont val="Arial"/>
        <family val="2"/>
      </rPr>
      <t xml:space="preserve"> con emision Original, para Tenencia</t>
    </r>
  </si>
  <si>
    <r>
      <t>Renovacion</t>
    </r>
    <r>
      <rPr>
        <sz val="14"/>
        <rFont val="Arial"/>
        <family val="2"/>
      </rPr>
      <t xml:space="preserve"> Tenencia </t>
    </r>
  </si>
  <si>
    <r>
      <t>Emisión Original,</t>
    </r>
    <r>
      <rPr>
        <sz val="14"/>
        <rFont val="Arial"/>
        <family val="2"/>
      </rPr>
      <t xml:space="preserve"> Renov. y Traspaso, Incluye Guard. Privados para emisión de escop. y rifles y pistolas de aire.</t>
    </r>
  </si>
  <si>
    <r>
      <t>Licencia Oficial</t>
    </r>
    <r>
      <rPr>
        <sz val="14"/>
        <rFont val="Arial"/>
        <family val="2"/>
      </rPr>
      <t>, para cualquier tipo de armas de fuego</t>
    </r>
  </si>
  <si>
    <r>
      <t>Instituciones</t>
    </r>
    <r>
      <rPr>
        <sz val="14"/>
        <rFont val="Arial"/>
        <family val="2"/>
      </rPr>
      <t xml:space="preserve"> con Exoneracion por Ley Renov. Licencia</t>
    </r>
  </si>
  <si>
    <r>
      <t>Mas:</t>
    </r>
    <r>
      <rPr>
        <sz val="11"/>
        <rFont val="Arial"/>
        <family val="2"/>
      </rPr>
      <t xml:space="preserve"> Aviso de Credito  d/f 12/07/2016 No. 198865721 por pago pendiente de Transferir  d/f 08/07/16 s/g Banco </t>
    </r>
  </si>
  <si>
    <t>TOTAL INGRESOS ESPECIALES   ====&gt;RD$</t>
  </si>
  <si>
    <t>Licda. Sol Angel A. Portorreal G.</t>
  </si>
  <si>
    <t xml:space="preserve">TOTAL GENERAL =========================================================&gt; </t>
  </si>
  <si>
    <t>Menos: Reclamacion Autorizada BC/05-2016 d/f 05/10/2016</t>
  </si>
  <si>
    <t>Cta. Recaudadora  MIP                          No. 010-250180-7</t>
  </si>
  <si>
    <t xml:space="preserve">REGISTRO DE  TRANSFERENCIAS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</si>
  <si>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</si>
  <si>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Menos: Cargo por Comision Promedio, Retención de Estado y Manejo de Cta. No.010-250177-7 d/f 01/02/17 </t>
  </si>
  <si>
    <t xml:space="preserve">  </t>
  </si>
  <si>
    <t>O-A (n/a)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</si>
  <si>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</t>
  </si>
  <si>
    <t>Mas: Rev. Retencion Estados 03/10/2017 d/f 10/10/2017</t>
  </si>
  <si>
    <t>Mas: Ajuste por ingresos registrado los fines de semana por el SISNA, en fecha del 21/08/2017 al 09/10/2017 pendientes de transferir, ver anexos. d/f 27/10/2017</t>
  </si>
  <si>
    <t>Mas: Ajuste por ingresos27/10/2017</t>
  </si>
  <si>
    <t>Menos: Cargos Retención Estados en Oficinas d/f 31/10/2017</t>
  </si>
  <si>
    <t>Menos: Cargos promedio (N/D) d/f 31/10/2017</t>
  </si>
  <si>
    <r>
      <rPr>
        <b/>
        <u val="single"/>
        <sz val="11"/>
        <rFont val="Arial"/>
        <family val="2"/>
      </rPr>
      <t>Menos:</t>
    </r>
    <r>
      <rPr>
        <b/>
        <sz val="11"/>
        <rFont val="Arial"/>
        <family val="2"/>
      </rPr>
      <t xml:space="preserve"> Retencion Estados en Oficina  </t>
    </r>
    <r>
      <rPr>
        <sz val="11"/>
        <rFont val="Arial"/>
        <family val="2"/>
      </rPr>
      <t>d/f 08/12/17</t>
    </r>
  </si>
  <si>
    <r>
      <t>Menos: cargos por servicios</t>
    </r>
    <r>
      <rPr>
        <sz val="12"/>
        <color indexed="8"/>
        <rFont val="Calibri"/>
        <family val="2"/>
      </rPr>
      <t xml:space="preserve"> d/f 29/12/2017</t>
    </r>
  </si>
  <si>
    <r>
      <rPr>
        <b/>
        <u val="single"/>
        <sz val="11"/>
        <rFont val="Arial"/>
        <family val="2"/>
      </rPr>
      <t>Menos:</t>
    </r>
    <r>
      <rPr>
        <b/>
        <sz val="11"/>
        <rFont val="Arial"/>
        <family val="2"/>
      </rPr>
      <t xml:space="preserve"> Comision Retencion de Estado d/f 03/01/2018</t>
    </r>
  </si>
  <si>
    <t xml:space="preserve">   </t>
  </si>
  <si>
    <t>Totales Disp.al /2018 ==============&gt; RD$</t>
  </si>
  <si>
    <t>Más: Completivo pendiente de registrar y transf. d/f 21/05/2018  en 20/06/2018</t>
  </si>
  <si>
    <t>Consulta de Movimientos</t>
  </si>
  <si>
    <t>Usuario:</t>
  </si>
  <si>
    <t>Tipo de transacción</t>
  </si>
  <si>
    <t>Período seleccionado</t>
  </si>
  <si>
    <t>Monto</t>
  </si>
  <si>
    <t>Débito/Crédito</t>
  </si>
  <si>
    <t>Desde:</t>
  </si>
  <si>
    <t>Hasta:</t>
  </si>
  <si>
    <t>Fecha</t>
  </si>
  <si>
    <t>No. de transacción</t>
  </si>
  <si>
    <t>Concepto</t>
  </si>
  <si>
    <t>Débito</t>
  </si>
  <si>
    <t>Crédito</t>
  </si>
  <si>
    <t>Balance</t>
  </si>
  <si>
    <t>Referencia</t>
  </si>
  <si>
    <t>Descripción</t>
  </si>
  <si>
    <t>Lic. Nathanael Duarte G.</t>
  </si>
  <si>
    <t>CARGOS TOTAL</t>
  </si>
  <si>
    <t>CARGOS DE HOY</t>
  </si>
  <si>
    <t>Los balances pendientes a transferir difieren con el balance en banco por cargos de convenio no debitado,y valores desconocidos  desde el 14/08/17. los cuales estan en procesos de conciliacion; Ver movimiento anexo.</t>
  </si>
  <si>
    <r>
      <t xml:space="preserve">Menos: Cargos por Retencion de Estados en Oficina </t>
    </r>
    <r>
      <rPr>
        <b/>
        <sz val="12"/>
        <color indexed="8"/>
        <rFont val="Calibri"/>
        <family val="2"/>
      </rPr>
      <t>d/f 01/08/2018</t>
    </r>
  </si>
  <si>
    <t>Fecha:</t>
  </si>
  <si>
    <t>Product</t>
  </si>
  <si>
    <t xml:space="preserve">Menos: Retencion de Estado en Oficina d/f 25/09/2018                                                                                                                                                                                           </t>
  </si>
  <si>
    <t xml:space="preserve">Menos: Retencion de Estado en Oficina d/f 06/11/2018                                                                                                                                                                                          </t>
  </si>
  <si>
    <t xml:space="preserve">                   : Copia de Deposito No. 11676577  - por valor de RD$</t>
  </si>
  <si>
    <r>
      <t>Menos: Cargos Bancarios 0.15% del 03/12/2018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 (por Ingreso del dia)</t>
    </r>
  </si>
  <si>
    <t>Total en Cargos Bancarios del 0.15% del 01 al 03/12/2018</t>
  </si>
  <si>
    <t>FOLLETO REGLAMENTO CONTROL ARMAS DE FUEGO</t>
  </si>
  <si>
    <t>SOLICITUD VIDA Y COSTUMBRE ABOGADOS</t>
  </si>
  <si>
    <t>PAGO EN LINEA</t>
  </si>
  <si>
    <t>,0009</t>
  </si>
  <si>
    <t>CERTIFICADO DE VIDA Y COSTUMBRE</t>
  </si>
  <si>
    <t>CERTIFICACION NACIONALIDAD DOMINICANA</t>
  </si>
  <si>
    <t>PAGO CUOTA</t>
  </si>
  <si>
    <t>SOLICITUD NATURALIZACION ORDINARIA</t>
  </si>
  <si>
    <t>.</t>
  </si>
  <si>
    <t>PAGOS EN LINEAS</t>
  </si>
  <si>
    <t>PAGOS POR EL BANRESERVAS</t>
  </si>
  <si>
    <t>Carnet</t>
  </si>
  <si>
    <t>025</t>
  </si>
  <si>
    <t>Otros Ingresos</t>
  </si>
  <si>
    <t>Total</t>
  </si>
  <si>
    <t>Comisión Cardnet</t>
  </si>
  <si>
    <t>1</t>
  </si>
  <si>
    <t>Solicitud Dercho a Juramentacion Nacional Extranjeros</t>
  </si>
  <si>
    <t>2</t>
  </si>
  <si>
    <t>Solicitud Nacionalidad Por Matrimonio</t>
  </si>
  <si>
    <t>3</t>
  </si>
  <si>
    <t>Solicitud Naturalizacion Ordinaria</t>
  </si>
  <si>
    <t>11</t>
  </si>
  <si>
    <t>Solicitud Vida y Costumbre Abogados</t>
  </si>
  <si>
    <t>16</t>
  </si>
  <si>
    <t>Certificacion Nacionalidad Dominicana</t>
  </si>
  <si>
    <t>19</t>
  </si>
  <si>
    <t>Certificacion de Acta de Naciomiento o Matrimonio a Extranjeros</t>
  </si>
  <si>
    <t>23</t>
  </si>
  <si>
    <t>certificacion de no Nacionalidad Extranjeros</t>
  </si>
  <si>
    <t>29</t>
  </si>
  <si>
    <t>Permisos Para Operar Billares</t>
  </si>
  <si>
    <t>31</t>
  </si>
  <si>
    <t>permisos Para Operar Parques</t>
  </si>
  <si>
    <t>35</t>
  </si>
  <si>
    <t>Carta De Ruta (Parque)</t>
  </si>
  <si>
    <t>37</t>
  </si>
  <si>
    <t>Pago Cuota</t>
  </si>
  <si>
    <t>42</t>
  </si>
  <si>
    <t>Folleto Reglamento Control Armas de Fuego</t>
  </si>
  <si>
    <t>47</t>
  </si>
  <si>
    <t>Soliictud Nacionalidad Por Opcion (padres Naturalizados</t>
  </si>
  <si>
    <t>55</t>
  </si>
  <si>
    <t>Ingresos Miselaneo</t>
  </si>
  <si>
    <t>Cant.    por  tramite Caja MIP</t>
  </si>
  <si>
    <t>Cant.   por  tramite BR</t>
  </si>
  <si>
    <t xml:space="preserve">Direcc. Gral. Imp. Int.                  No. 010-238489-4        </t>
  </si>
  <si>
    <t xml:space="preserve">Psiquiatria   No. 240-014024-8     </t>
  </si>
  <si>
    <t>Cta. Colector de Recursos Directos MIP (CUT) No. 010-252207-3</t>
  </si>
  <si>
    <t xml:space="preserve">Cta. Colector de Recursos Directos MIP   (CUT)             </t>
  </si>
  <si>
    <t xml:space="preserve">INGRESOS POR                                          CAJA MIP  </t>
  </si>
  <si>
    <t>Banco de Reservas y el MIP</t>
  </si>
  <si>
    <t>BALANCES  PENDIENTES DE TRANSFERIR ====&gt;RD$</t>
  </si>
  <si>
    <t>SOLICITUD DERECHO A JURAMENTACION NACIONAL EXTRANJEROS</t>
  </si>
  <si>
    <t>PERMISOS PARA OPERAR BILLARES</t>
  </si>
  <si>
    <t>INGRESOS MISELANEO</t>
  </si>
  <si>
    <t>SOLICITUD NACIONALIDAD POR OPCION (PADRES NATURALIZADOS)</t>
  </si>
  <si>
    <t>PERMISOS PARA OPERAR PARQUES</t>
  </si>
  <si>
    <t>CERTIFICACION NACIONALIDAD EXTRANJERA</t>
  </si>
  <si>
    <t>CERTIFICACION DE ACTA DE NACIMIENTO O MATRIMONIO A EXTRANJEROS</t>
  </si>
  <si>
    <t>CAJA GRAL MIP</t>
  </si>
  <si>
    <t>CANTIDAD</t>
  </si>
  <si>
    <t>SUB-TOTAL</t>
  </si>
  <si>
    <t>PAGOS EN LINEA SIRIT</t>
  </si>
  <si>
    <t xml:space="preserve">TOTAL GENERAL =========================================&gt; </t>
  </si>
  <si>
    <t>SOLICITUD PARA OBTENER LA NACIONALIDAD DOM. POR EL ART. 4to.</t>
  </si>
  <si>
    <t>7</t>
  </si>
  <si>
    <t>Solicitud Para Obtener La Nacionalidad Dom. Por El Art. 4to.</t>
  </si>
  <si>
    <t>TRANFERENCIAS DE PAGOS EN LINEA SERVICIOS JURIDICOS</t>
  </si>
  <si>
    <t>TRANFERENCIAS DE PAGOS EN LINEA SERVICIOS DE ARMAS DE FUEGO</t>
  </si>
  <si>
    <t>TRANSFERENCIAS EN LINEA DE ARMAS CTA. COLECTOR</t>
  </si>
  <si>
    <t>Solicitud Nacionalidad Por Opcion (padres Naturalizados</t>
  </si>
  <si>
    <t>CARTA DE RUTA (PARQUE)</t>
  </si>
  <si>
    <t>TOTAL</t>
  </si>
  <si>
    <t>CALCULOS DESGLOSE DE TRAMITES SIRIT</t>
  </si>
  <si>
    <t>Cant.    por  tramite SIRITE</t>
  </si>
  <si>
    <t>DISTRIBUCION  DE INGRESOS SIRITE</t>
  </si>
  <si>
    <t xml:space="preserve">INGRESOS POR PAGOS  EN LINEA  SIRITE                                       </t>
  </si>
  <si>
    <t>REGISTROS DE CARGOS 0.15% Y COMISIONES CORRESPONDIENTE AL MES DE ABRIL  2019</t>
  </si>
  <si>
    <t>TOTAL DEL MIP POR ARMAS</t>
  </si>
  <si>
    <t>CALCULOS PAGOS EN CAJA MIP Y SIRITE</t>
  </si>
  <si>
    <t>SOLICITUD NACIONALIDAD PRIVILEGIADA</t>
  </si>
  <si>
    <t>4</t>
  </si>
  <si>
    <t>Solicitud Naturalizacion Privilegiada</t>
  </si>
  <si>
    <t>CONVENIIO</t>
  </si>
  <si>
    <t>BALANCE ANTERIOR</t>
  </si>
  <si>
    <t>SOLICITUD REGISTRO DE NOMBRE, PERIODICOS, REVISTA Y VOLANTES</t>
  </si>
  <si>
    <t>10</t>
  </si>
  <si>
    <t>Solicitud Registro de nombre, periodicos, revista y volantes</t>
  </si>
  <si>
    <t>INGRESOS ESPECIALES   ====&gt;RD$</t>
  </si>
  <si>
    <t>SOLICITUD FIJACION DE DOMICILIO (CIA - US$25000)</t>
  </si>
  <si>
    <t>8</t>
  </si>
  <si>
    <t>Solicitud Fijacion de Domicilio (US$25000)</t>
  </si>
  <si>
    <t>9</t>
  </si>
  <si>
    <t>CERTIFICACION DE NO REGISTRO NOMBRE PERIODICO, REVISTA Y BOLANTES</t>
  </si>
  <si>
    <t>20</t>
  </si>
  <si>
    <t>BALISTICA</t>
  </si>
  <si>
    <t xml:space="preserve">             Visto Bueno</t>
  </si>
  <si>
    <t xml:space="preserve"> Preparado por </t>
  </si>
  <si>
    <t>Balance Ingresos pendiente transf. Final del Mes 2020 ==</t>
  </si>
  <si>
    <t>MINISTERIO DE INTERIOR Y POLICIA</t>
  </si>
  <si>
    <t>DEPARTAMENTO DE TESORERIA</t>
  </si>
  <si>
    <t xml:space="preserve">CONCILIACION ENTRE CUENTAS BANCARIAS; COLECTORA BANRESERVAS No. 010-250177-7  Y RECAUDADORA MIP No. 010-250180-7 </t>
  </si>
  <si>
    <t>Ingresos a traves de la cuenta Colectora No. 010-250177-7</t>
  </si>
  <si>
    <t>Menos:</t>
  </si>
  <si>
    <t xml:space="preserve">Barrido de la cta. Colectora a la  cta. Recaudadora </t>
  </si>
  <si>
    <t>Debito Cargo por servicio convenio</t>
  </si>
  <si>
    <t>Recalculos; Servicios Convenio</t>
  </si>
  <si>
    <t>Debito cargo por Servicio según Banco Cta. Colectora</t>
  </si>
  <si>
    <t>Cantidad Tramites Según SISNA</t>
  </si>
  <si>
    <t xml:space="preserve">      Preparado por</t>
  </si>
  <si>
    <t xml:space="preserve">  Enc. Dpto. de Tesoreria</t>
  </si>
  <si>
    <t>CONCILIACION ENTRE CUENTA BANCARIA RECAUDADORA MIP Y                                                                                                  REPORTE DE INGRESOS EXTRAPRESUPUESTARIOS (SISNA MIP)</t>
  </si>
  <si>
    <t>VALORES RD$</t>
  </si>
  <si>
    <t>MENOS:</t>
  </si>
  <si>
    <t>TRANSFERENCIAS REALIZADAS POR INGRESOS</t>
  </si>
  <si>
    <t>CARGOS BANCARIOS POR TRANSFERENCIAS REALIZADAS</t>
  </si>
  <si>
    <t>BALANCE SEGÚN BANCO, CUENTA RECAUDADORA MIP NO. 010-250180-7</t>
  </si>
  <si>
    <t>BALANCE DE INGRESOS EXTRAPRESUPUESTARIOS MIP PENDIENTE A TRANSFERIR</t>
  </si>
  <si>
    <t xml:space="preserve">TOTAL EN DIFERENCIAS </t>
  </si>
  <si>
    <t xml:space="preserve">                                                   Preparado Por</t>
  </si>
  <si>
    <t xml:space="preserve">          Revisado Por</t>
  </si>
  <si>
    <t xml:space="preserve">Cta. Colector de Recursos Directos MIP   (CUT)                                                      CAJA GENERAL          </t>
  </si>
  <si>
    <t xml:space="preserve">Total General de Ingresos Cta. Colector de Recursos Directos MIP   (CUT)             </t>
  </si>
  <si>
    <t>PAGOS EN LINEA SERVICIOS JURIDICOS</t>
  </si>
  <si>
    <t>Menos: Comision por Manejo de Cuentas  d/f 07/08/2020 cta. Colector</t>
  </si>
  <si>
    <t>Valores en RD$</t>
  </si>
  <si>
    <t>PAGOS POR BANRESERVAS</t>
  </si>
  <si>
    <t>DETALLE DE TRAMITE</t>
  </si>
  <si>
    <t>COSTO UNITARIO</t>
  </si>
  <si>
    <t>TOTAL INGRESOS    ====&gt;RD$</t>
  </si>
  <si>
    <t>Enc. Dpto. de Tesoreria</t>
  </si>
  <si>
    <t xml:space="preserve"> Director Financiero</t>
  </si>
  <si>
    <t>Departamento de Tesoreria</t>
  </si>
  <si>
    <t>Distribucion de Ingresos por captacion directa del MIP, pagados en el Banco de Reservas Y en Linea ( SIRITE )</t>
  </si>
  <si>
    <t>Según Resolucion 08-05; Cobertura de Proteccion a las Victimas De La Violencia ( Fideicomiso )</t>
  </si>
  <si>
    <t>CANTIDAD POR TRAMITE   BR</t>
  </si>
  <si>
    <t>CANTIDAD POR TRAMITE    SIRITE</t>
  </si>
  <si>
    <t>VALOR A PAGAR POR FIDEICOMISO</t>
  </si>
  <si>
    <t>PAGOS EN LINEA SIRITE</t>
  </si>
  <si>
    <t>N/A</t>
  </si>
  <si>
    <t xml:space="preserve">      Revisado Por </t>
  </si>
  <si>
    <t>Direccion Administrativa y Financiera</t>
  </si>
  <si>
    <t xml:space="preserve">Distribucion de Fondos del Ministerio de Interior y Policia </t>
  </si>
  <si>
    <t>Jesús Vásquez Martínez</t>
  </si>
  <si>
    <t>Ministro de Interior y Policia</t>
  </si>
  <si>
    <t>DIRECCION FINANCIERA</t>
  </si>
  <si>
    <t>REPORTE DIARIO  (SIRITE)</t>
  </si>
  <si>
    <t>Total Recaudado Según Reporte SIRITE</t>
  </si>
  <si>
    <t>Prueba Balistica LABBS</t>
  </si>
  <si>
    <t>Recaudado MIP</t>
  </si>
  <si>
    <t>Traspaso con Emision Original, Para Tenencia</t>
  </si>
  <si>
    <t>Renovacion Tenencia</t>
  </si>
  <si>
    <t xml:space="preserve">Adendum para Porte </t>
  </si>
  <si>
    <t>Adendum para Porte Original</t>
  </si>
  <si>
    <t>Pago Original</t>
  </si>
  <si>
    <t>Emision Original</t>
  </si>
  <si>
    <t>Guardianes o Instituciones</t>
  </si>
  <si>
    <t>Renovacion  de Escopeta</t>
  </si>
  <si>
    <t>Solicitud Fijacion de Domicilio (-US$25000)</t>
  </si>
  <si>
    <t>Solicitud Fijacion de Domicilio (+US$25000)</t>
  </si>
  <si>
    <t>Certificacion de no registro nombre periodicos, revista y volantes</t>
  </si>
  <si>
    <t>Certificacion de no Registro Periodico, revista y Volantes</t>
  </si>
  <si>
    <t>CARGOS POR MANEJO DE CUENTA</t>
  </si>
  <si>
    <t>L.Oficial - 2945</t>
  </si>
  <si>
    <t>Ren.Ten - 5045</t>
  </si>
  <si>
    <t>A/porte - 805</t>
  </si>
  <si>
    <t>Orig - 6345</t>
  </si>
  <si>
    <t>P/JURIDICOS</t>
  </si>
  <si>
    <t>BANCO</t>
  </si>
  <si>
    <t xml:space="preserve">Menos: Comision por Manejo de cuenta d/f 30/09/2020 </t>
  </si>
  <si>
    <t>Total General Ingresos =&gt; RD$</t>
  </si>
  <si>
    <t>Cuenta Corriente - 0102501807 - DOP</t>
  </si>
  <si>
    <t>Lic. Eladio M. Rodríguez</t>
  </si>
  <si>
    <r>
      <t>NOTA</t>
    </r>
    <r>
      <rPr>
        <b/>
        <sz val="11"/>
        <rFont val="Arial"/>
        <family val="2"/>
      </rPr>
      <t>1</t>
    </r>
    <r>
      <rPr>
        <b/>
        <sz val="16"/>
        <rFont val="Arial"/>
        <family val="2"/>
      </rPr>
      <t>:</t>
    </r>
  </si>
  <si>
    <t>Cant.</t>
  </si>
  <si>
    <t>traspaso/4720</t>
  </si>
  <si>
    <t>Mas: Credito d/f 12/11/2020, por respuesta a reclamacion</t>
  </si>
  <si>
    <t xml:space="preserve">Mas: Ajuste por pagos dejados de registrar desde octubre 2017 a febrero 2018 por problemas en SISNA con los dias feriados y fin de semanas en este periodo,  ver documentos  anexos </t>
  </si>
  <si>
    <t>Licda. Leydi Martinez M.</t>
  </si>
  <si>
    <t xml:space="preserve">                                             Lcda. Leydi Martinez M.</t>
  </si>
  <si>
    <t xml:space="preserve"> Licda. Leydi Martinez M.</t>
  </si>
  <si>
    <t xml:space="preserve">                                                          Licda. Leydi Martinez M.</t>
  </si>
  <si>
    <t>SOLICTUD NACIONALIDAD POR MATRIMONIO</t>
  </si>
  <si>
    <t>Reporte de Ingresos por servicios de Armas de fuego pagados via Banreservas y SIRITE</t>
  </si>
  <si>
    <t>TRAMITE POR       BANCO</t>
  </si>
  <si>
    <t>TRAMITE  POR               SIRITE</t>
  </si>
  <si>
    <t>PAGO EN LINEA SIRITE</t>
  </si>
  <si>
    <t>SUB - TOTAL</t>
  </si>
  <si>
    <t>RECURSOS FONDO GENERAL 100</t>
  </si>
  <si>
    <t>RECURSOS FUENTE ESPECIFICAS</t>
  </si>
  <si>
    <t>CALCULOS OCULTO</t>
  </si>
  <si>
    <t>Licda. Violeta Hernandez P.</t>
  </si>
  <si>
    <t>Coordinadora Financiera</t>
  </si>
  <si>
    <t>Cuenta Corriente - 0102501777 - DOP</t>
  </si>
  <si>
    <t xml:space="preserve">TOTAL GENERAL ====================================&gt; </t>
  </si>
  <si>
    <t xml:space="preserve">CANT. </t>
  </si>
  <si>
    <t xml:space="preserve">diferentes Concepto. </t>
  </si>
  <si>
    <t>Lic. Ramon Francisco Hernandez V.</t>
  </si>
  <si>
    <t xml:space="preserve">Diferencia de Ing. en barrido de cta. Con reporte de SISNA . d/f  20/08/2021;     ver movimiento anexo </t>
  </si>
  <si>
    <t xml:space="preserve">Diferencia en Ing. barrido de cta. Con reporte de SISNA . d/f  27/08/21; ver movimiento anexo </t>
  </si>
  <si>
    <t>Solicitud Vida y Costumbre Abogados y otros Servicios</t>
  </si>
  <si>
    <t xml:space="preserve">Menos: Diferencia entre SISNA y Barrido de la cuenta Colector a la Recaudadora por pagos de Armas de fuego  </t>
  </si>
  <si>
    <t>Menos: Debito d/f 06/12/2021, por autorizacion a reclamacion AUT-REC-BR/NO.01-2021</t>
  </si>
  <si>
    <t>Menos: Debito d/f 18/02/2022, por autorizacion a reclamacion AUT-REC-BR/NO.01-2022</t>
  </si>
  <si>
    <t>Totales Disp.al 11/3/2022 ==============&gt; RD$</t>
  </si>
  <si>
    <t>Menos: Debito d/f 14/03/2022, por autorizacion a reclamacion                                            AUT-REC-BR/NO.02-2022</t>
  </si>
  <si>
    <t xml:space="preserve">Menos: Devolucion por Pagos Mal Aplicados, mediante AUT-REC-BR/02-2022; ver anexos.                                                                                                                                                                                              </t>
  </si>
  <si>
    <t>CERTIFICACION FIJACION DE DOMICILIO (CIA - EXTRANJERAS)</t>
  </si>
  <si>
    <t>22</t>
  </si>
  <si>
    <t>Certificacion Fijacion de Domicilio (+US$25000)</t>
  </si>
  <si>
    <t>Certificacion Fijacion de Domicilio (CIA. EXTRANJERAS)</t>
  </si>
  <si>
    <t xml:space="preserve">Ingresos por pago cuota y permisos para operar parques y billares                                                    </t>
  </si>
  <si>
    <t>Menos: Comision por Manejo de Cuentas  d/f 31/03/2022 cta.Recaudadora</t>
  </si>
  <si>
    <t xml:space="preserve">Menos: Cargo por manejo de cuenta el 31/03/2022 </t>
  </si>
  <si>
    <t>Balance Inicial al 01/04/2022 =============</t>
  </si>
  <si>
    <t>Menos: Cargo por transferencias 0.15% del 01/04/2022 de los ings. Del 22 al 24/03/2022.</t>
  </si>
  <si>
    <t>Mas: Ingresos por pago cuota y permisos para operar parques y billares  por Banco, d/f 04/04/2022, ver anexo</t>
  </si>
  <si>
    <t>Ingresos Acumulados del 01 al 04/04/2022   ========</t>
  </si>
  <si>
    <t>Ingresos del 05/04/2022</t>
  </si>
  <si>
    <t>Total Ingresos Acumulados al 05/04/2022 ====================</t>
  </si>
  <si>
    <r>
      <t>Menos</t>
    </r>
    <r>
      <rPr>
        <b/>
        <sz val="12"/>
        <rFont val="Arial"/>
        <family val="2"/>
      </rPr>
      <t>: Transferencias o Depositos Realizados Del 01 al 05/04/2022=======</t>
    </r>
  </si>
  <si>
    <t>Cargos Bancarios 0.15%  del 01 al 04/04/2022</t>
  </si>
  <si>
    <r>
      <t>Menos: Cargos Bancarios 0.15% del 05/04/2022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 (por Ingreso del dia)</t>
    </r>
  </si>
  <si>
    <t>Comisión                                                                                                                                                       Cardnet</t>
  </si>
  <si>
    <t>Licda. Belgica A. Lopez M.</t>
  </si>
  <si>
    <t>vhernandez</t>
  </si>
  <si>
    <t xml:space="preserve">     </t>
  </si>
  <si>
    <r>
      <t>Licda. Leydi Martínez</t>
    </r>
    <r>
      <rPr>
        <b/>
        <sz val="14"/>
        <color indexed="9"/>
        <rFont val="Times New Roman"/>
        <family val="1"/>
      </rPr>
      <t xml:space="preserve">  Mancebo                                      </t>
    </r>
    <r>
      <rPr>
        <b/>
        <u val="single"/>
        <sz val="14"/>
        <color indexed="9"/>
        <rFont val="Times New Roman"/>
        <family val="1"/>
      </rPr>
      <t>Licda. Belgica López.</t>
    </r>
  </si>
  <si>
    <t>Emision O - 4720</t>
  </si>
  <si>
    <t>Mas: Credito d/f 11/10/2022, por DEVOLUCION de Diferencias entre SISNA y Barrido de la Cuenta Colector a la Recaudadora por Pagos de Armas de fuego.</t>
  </si>
  <si>
    <t xml:space="preserve">CARGOS POR MANEJO DE CUENTA Y BALANCE PROMEDIO MINIMO EN CTA. 010-250177-7 </t>
  </si>
  <si>
    <t xml:space="preserve">Menos: Debito por Pagos Mal Aplicados, mediante AUT-REC-BR/15-2022 y AUT-REC-BR/15-2022; ver anexos.                                                                                                                                                                                              </t>
  </si>
  <si>
    <t>Menos: Cargo por manjeto de cuenta al 30/12/2022</t>
  </si>
  <si>
    <t>Menos: Diferencia entre SISNA y Barrido de la cuenta Colector a la Recaudadora por pagos de Armas de fuego, d/f 10/01/2023</t>
  </si>
  <si>
    <t>Mas: Cargo por manejo de cuenta, descontado por error, d/f 31/10/2021</t>
  </si>
  <si>
    <t>Mas: Diferencia entre SISNA y Barrido de la cuenta Colector a la Recaudadora por pagos de Armas de fuego, d/f 06/02/2023</t>
  </si>
  <si>
    <t>Mas: Credito d/f 29/12/2022, Pago Transferencia realizada , de Diferencia entre SISNA y Barrido de la Cuenta Colector a la Recaudadora por Pagos de Armas de fuego De los dias 05 y 14/12/22.</t>
  </si>
  <si>
    <t xml:space="preserve">                                                                      </t>
  </si>
  <si>
    <t>Reverso de Transferencia de la COLECTORA para DGII, se asumio se pagaba a DGII y el pago fue a Colectora, correspondiente a INGRESO DEL 18/05/2021. (Hacer la transferencia a la cuenta real, porque por concepto se asumio que pertenecia la trsnf. a la DGII y EL PAGO FUE A COLECTORA) (VER TRANSF. 09/07/2021, ADJUNTA)</t>
  </si>
  <si>
    <t>Menos: Cargo por transferencias 0.15% del 08/02/2023 de los ings.  Del 01 Y 02/06/2021 Y DEL 03 Y 06/02/2023</t>
  </si>
  <si>
    <t>Mas: Ajuste por pagos dejados de registrar desde octubre 2017 a febrero 2018 por problemas en SISNA con los dias feriados y fin de semanas en este periodo. (Errores Bancarios)</t>
  </si>
  <si>
    <t>Menos: Debito d/f 16/02/2023, por autorizacion a reclamacion                                            AUT-REC-BR/NO.2-2023</t>
  </si>
  <si>
    <t xml:space="preserve">Mas: Ingresos por pago cuota y permisos para operar parques y billares D/F 21/02/2023.                                                   </t>
  </si>
  <si>
    <t>Menos: Comision por Manejo de Cuentas Recaudadora 28/02/2023</t>
  </si>
  <si>
    <t>BARRIDO DESDE 0102501777</t>
  </si>
  <si>
    <t xml:space="preserve">BARRIDO DESDE 0102501777  </t>
  </si>
  <si>
    <t>Precio Unitario PSIQUIATRIA</t>
  </si>
  <si>
    <t>Costo                              POR TRAMITE</t>
  </si>
  <si>
    <t>MONTO unitario DGII</t>
  </si>
  <si>
    <t>MONTO Unitario PSIQUIATRIA</t>
  </si>
  <si>
    <t xml:space="preserve">Menos: Devolucion por Pagos Mal Aplicados, mediante AUT-REC-BR/03-2023; ver anexos.                                                                                                                                                                                              </t>
  </si>
  <si>
    <t xml:space="preserve">                        </t>
  </si>
  <si>
    <t>59</t>
  </si>
  <si>
    <t>SOLICITUD NATURALIZACION POR INVERSION</t>
  </si>
  <si>
    <t>Mas: Diferencia entre SISNA y Barrido en fecha 31/06/2023, VER MOVIMIENTO CTA. Y REPORTE SISNA</t>
  </si>
  <si>
    <t xml:space="preserve">                                      Firma Autorizada</t>
  </si>
  <si>
    <t>EMBARGO A CUENTA</t>
  </si>
  <si>
    <t xml:space="preserve">Menos: Ingreso del dia 21/7/23  no Barrido por el Banco; Embargo a cuenta bancaria  </t>
  </si>
  <si>
    <t xml:space="preserve">Menos: Cargo convenio del 21/7/2023 no cobrado por el Banco; Embargo a cuenta bancaria </t>
  </si>
  <si>
    <t xml:space="preserve"> Kenia Diaz Lima</t>
  </si>
  <si>
    <t>Analista Financiera</t>
  </si>
  <si>
    <t xml:space="preserve">                   Preparado Por                                                    Enc. Dpto. Tesorería</t>
  </si>
  <si>
    <t>DIFERENCIAS DESDE EL 14/8/2017 AL 10/8/2018</t>
  </si>
  <si>
    <t xml:space="preserve">DIFERENCIAS  DESDE EL 01/7/2018 AL 10/08/2020 (VALORES A RECLAMAR BR) </t>
  </si>
  <si>
    <t xml:space="preserve">Mas: Ingreso del dia 12/9/2023, </t>
  </si>
  <si>
    <t>4524000010010</t>
  </si>
  <si>
    <t>0.00</t>
  </si>
  <si>
    <t>0</t>
  </si>
  <si>
    <t>Mas: Devolucion Embargo, corresp. A convenio del 21/7/2023</t>
  </si>
  <si>
    <t>Menos: Debito d/f 13/09/2022, por autorizacion a reclamacion AUT-REC-BR/NO.09-2023</t>
  </si>
  <si>
    <t>932000938419</t>
  </si>
  <si>
    <t>COBRO IMP DGII 0.15%_TRANS TUB</t>
  </si>
  <si>
    <t>21,291,810.09</t>
  </si>
  <si>
    <t>932000938</t>
  </si>
  <si>
    <t>COBRO IMP DGII 0.15%_TRANS TUB 32000938419 01600009227</t>
  </si>
  <si>
    <t>32000938419</t>
  </si>
  <si>
    <t>TRANSFERENCIA A TESORERIA NACIONAL</t>
  </si>
  <si>
    <t>21,292,715.98</t>
  </si>
  <si>
    <t>320009384</t>
  </si>
  <si>
    <t xml:space="preserve">  PAGO COLECTOR DEL 31 DE AGOSTO</t>
  </si>
  <si>
    <t>932000924164</t>
  </si>
  <si>
    <t>21,896,640.98</t>
  </si>
  <si>
    <t>932000924</t>
  </si>
  <si>
    <t>COBRO IMP DGII 0.15%_TRANS TUB 32000924164 01600009227</t>
  </si>
  <si>
    <t>32000924164</t>
  </si>
  <si>
    <t>21,897,250.54</t>
  </si>
  <si>
    <t>320009241</t>
  </si>
  <si>
    <t xml:space="preserve">  PAGO DGII DEL 31 DE AGOSTO 202</t>
  </si>
  <si>
    <t>932000898093</t>
  </si>
  <si>
    <t>22,303,625.54</t>
  </si>
  <si>
    <t>932000898</t>
  </si>
  <si>
    <t>COBRO IMP DGII 0.15%_TRANS TUB 32000898093 01600009227</t>
  </si>
  <si>
    <t>32000898093</t>
  </si>
  <si>
    <t>22,304,344.86</t>
  </si>
  <si>
    <t>320008980</t>
  </si>
  <si>
    <t xml:space="preserve">  PAGO COLECTOR DEL 30 DE AGOSTO</t>
  </si>
  <si>
    <t>932000879275</t>
  </si>
  <si>
    <t>22,783,893.86</t>
  </si>
  <si>
    <t>932000879</t>
  </si>
  <si>
    <t>COBRO IMP DGII 0.15%_TRANS TUB 32000879275 01600009227</t>
  </si>
  <si>
    <t>32000879275</t>
  </si>
  <si>
    <t>22,784,364.12</t>
  </si>
  <si>
    <t>320008792</t>
  </si>
  <si>
    <t xml:space="preserve">  PAGO DGII DEL 30 DE AGOSTO 202</t>
  </si>
  <si>
    <t>932000863459</t>
  </si>
  <si>
    <t>23,097,870.26</t>
  </si>
  <si>
    <t>932000863</t>
  </si>
  <si>
    <t>COBRO IMP DGII 0.15%_TRANS TUB 32000863459 01600009227</t>
  </si>
  <si>
    <t>32000863459</t>
  </si>
  <si>
    <t>23,098,602.34</t>
  </si>
  <si>
    <t>320008634</t>
  </si>
  <si>
    <t xml:space="preserve">  PAGO COLECTOR DEL 29 DE AGOSTO</t>
  </si>
  <si>
    <t>932000846692</t>
  </si>
  <si>
    <t>23,586,658.54</t>
  </si>
  <si>
    <t>932000846</t>
  </si>
  <si>
    <t>COBRO IMP DGII 0.15%_TRANS TUB 32000846692 01600009227</t>
  </si>
  <si>
    <t>32000846692</t>
  </si>
  <si>
    <t>23,587,139.27</t>
  </si>
  <si>
    <t>320008466</t>
  </si>
  <si>
    <t xml:space="preserve">  PAGO DGII DEL  29 DE AGOSTO 20</t>
  </si>
  <si>
    <t>932000832002</t>
  </si>
  <si>
    <t>23,907,628.48</t>
  </si>
  <si>
    <t>932000832</t>
  </si>
  <si>
    <t>COBRO IMP DGII 0.15%_TRANS TUB 32000832002 01600009227</t>
  </si>
  <si>
    <t>32000832002</t>
  </si>
  <si>
    <t>23,908,848.73</t>
  </si>
  <si>
    <t>320008320</t>
  </si>
  <si>
    <t xml:space="preserve">  PAGO COLECTOR DEL 28 DE AGOSTO</t>
  </si>
  <si>
    <t>932000819905</t>
  </si>
  <si>
    <t>24,722,348.73</t>
  </si>
  <si>
    <t>932000819</t>
  </si>
  <si>
    <t>COBRO IMP DGII 0.15%_TRANS TUB 32000819905 01600009227</t>
  </si>
  <si>
    <t>32000819905</t>
  </si>
  <si>
    <t>24,723,156.11</t>
  </si>
  <si>
    <t>320008199</t>
  </si>
  <si>
    <t xml:space="preserve">  PAGO DGII DEL 28 DE AGOSTO 202</t>
  </si>
  <si>
    <t>932000807134</t>
  </si>
  <si>
    <t>25,261,406.11</t>
  </si>
  <si>
    <t>932000807</t>
  </si>
  <si>
    <t>COBRO IMP DGII 0.15%_TRANS TUB 32000807134 01600009227</t>
  </si>
  <si>
    <t>32000807134</t>
  </si>
  <si>
    <t>25,262,396.70</t>
  </si>
  <si>
    <t>320008071</t>
  </si>
  <si>
    <t xml:space="preserve">  PAGO COLECTOR DEL 25 DE AGOSTO</t>
  </si>
  <si>
    <t>932000794000</t>
  </si>
  <si>
    <t>25,922,786.70</t>
  </si>
  <si>
    <t>932000794</t>
  </si>
  <si>
    <t>COBRO IMP DGII 0.15%_TRANS TUB 32000794000 01600009227</t>
  </si>
  <si>
    <t>32000794000</t>
  </si>
  <si>
    <t>25,923,462.64</t>
  </si>
  <si>
    <t>320007940</t>
  </si>
  <si>
    <t xml:space="preserve">  PAGO DGII DEL 25 DE AGOSTO 202</t>
  </si>
  <si>
    <t>932000773952</t>
  </si>
  <si>
    <t>26,374,087.64</t>
  </si>
  <si>
    <t>932000773</t>
  </si>
  <si>
    <t>COBRO IMP DGII 0.15%_TRANS TUB 32000773952 01600009227</t>
  </si>
  <si>
    <t>32000773952</t>
  </si>
  <si>
    <t>26,374,932.25</t>
  </si>
  <si>
    <t>320007739</t>
  </si>
  <si>
    <t xml:space="preserve">  PAGO COLECTOR DEL 24 DE AGOSTO</t>
  </si>
  <si>
    <t>932000724047</t>
  </si>
  <si>
    <t>26,938,002.25</t>
  </si>
  <si>
    <t>932000724</t>
  </si>
  <si>
    <t>COBRO IMP DGII 0.15%_TRANS TUB 32000724047 01600009227</t>
  </si>
  <si>
    <t>32000724047</t>
  </si>
  <si>
    <t>26,938,576.08</t>
  </si>
  <si>
    <t>320007240</t>
  </si>
  <si>
    <t xml:space="preserve">  PAGO DGII DEL 24 DE AGOSTO 202</t>
  </si>
  <si>
    <t xml:space="preserve">DIFERENCIAS  DESDE EL 01 AL 31/10/2023 (VALORES RECLAMADOS BR) </t>
  </si>
  <si>
    <r>
      <t>Traspaso</t>
    </r>
    <r>
      <rPr>
        <sz val="14"/>
        <color indexed="18"/>
        <rFont val="Arial"/>
        <family val="2"/>
      </rPr>
      <t xml:space="preserve"> con emision Original, para Tenencia</t>
    </r>
  </si>
  <si>
    <r>
      <t>Renovacion</t>
    </r>
    <r>
      <rPr>
        <sz val="14"/>
        <color indexed="18"/>
        <rFont val="Arial"/>
        <family val="2"/>
      </rPr>
      <t xml:space="preserve"> Tenencia </t>
    </r>
  </si>
  <si>
    <r>
      <t>Emisión Original,</t>
    </r>
    <r>
      <rPr>
        <sz val="14"/>
        <color indexed="18"/>
        <rFont val="Arial"/>
        <family val="2"/>
      </rPr>
      <t xml:space="preserve"> Renov. y Traspaso, Incluye Guard. Privados para emisión de escop. y rifles y pistolas de aire.</t>
    </r>
  </si>
  <si>
    <r>
      <t>Licencia Oficial</t>
    </r>
    <r>
      <rPr>
        <sz val="14"/>
        <color indexed="18"/>
        <rFont val="Arial"/>
        <family val="2"/>
      </rPr>
      <t>, para cualquier tipo de armas de fuego</t>
    </r>
  </si>
  <si>
    <r>
      <t>Instituciones</t>
    </r>
    <r>
      <rPr>
        <sz val="14"/>
        <color indexed="18"/>
        <rFont val="Arial"/>
        <family val="2"/>
      </rPr>
      <t xml:space="preserve"> con Exoneracion por Ley Renov. Licencia</t>
    </r>
  </si>
  <si>
    <t xml:space="preserve">TOTAL==================================&gt; </t>
  </si>
  <si>
    <t xml:space="preserve">      </t>
  </si>
  <si>
    <t xml:space="preserve">                                             </t>
  </si>
  <si>
    <t>BARRIDO HACIA 0102501807</t>
  </si>
  <si>
    <t xml:space="preserve">BARRIDO HACIA 0102501807  </t>
  </si>
  <si>
    <t>DB DE CARGO POR SERV</t>
  </si>
  <si>
    <r>
      <t>Traspaso</t>
    </r>
    <r>
      <rPr>
        <sz val="14"/>
        <color indexed="56"/>
        <rFont val="Arial"/>
        <family val="2"/>
      </rPr>
      <t xml:space="preserve"> con emision Original, para Tenencia</t>
    </r>
  </si>
  <si>
    <r>
      <t>Renovacion</t>
    </r>
    <r>
      <rPr>
        <sz val="14"/>
        <color indexed="56"/>
        <rFont val="Arial"/>
        <family val="2"/>
      </rPr>
      <t xml:space="preserve"> Tenencia </t>
    </r>
  </si>
  <si>
    <r>
      <t>Emisión Original,</t>
    </r>
    <r>
      <rPr>
        <sz val="14"/>
        <color indexed="56"/>
        <rFont val="Arial"/>
        <family val="2"/>
      </rPr>
      <t xml:space="preserve"> Renov. y Traspaso, Incluye Guard. Privados para emisión de escop. y rifles y pistolas de aire.</t>
    </r>
  </si>
  <si>
    <r>
      <t>Licencia Oficial</t>
    </r>
    <r>
      <rPr>
        <sz val="14"/>
        <color indexed="56"/>
        <rFont val="Arial"/>
        <family val="2"/>
      </rPr>
      <t>, para cualquier tipo de armas de fuego</t>
    </r>
  </si>
  <si>
    <r>
      <t>Instituciones</t>
    </r>
    <r>
      <rPr>
        <sz val="14"/>
        <color indexed="56"/>
        <rFont val="Arial"/>
        <family val="2"/>
      </rPr>
      <t xml:space="preserve"> con Exoneracion por Ley Renov. Licencia</t>
    </r>
  </si>
  <si>
    <r>
      <rPr>
        <b/>
        <u val="single"/>
        <sz val="11"/>
        <color indexed="56"/>
        <rFont val="Arial"/>
        <family val="2"/>
      </rPr>
      <t>Menos:</t>
    </r>
    <r>
      <rPr>
        <b/>
        <sz val="11"/>
        <color indexed="56"/>
        <rFont val="Arial"/>
        <family val="2"/>
      </rPr>
      <t xml:space="preserve"> Retencion Estados en Oficina  </t>
    </r>
    <r>
      <rPr>
        <sz val="11"/>
        <color indexed="56"/>
        <rFont val="Arial"/>
        <family val="2"/>
      </rPr>
      <t>d/f 08/12/17</t>
    </r>
  </si>
  <si>
    <r>
      <rPr>
        <b/>
        <u val="single"/>
        <sz val="10"/>
        <color indexed="56"/>
        <rFont val="Arial"/>
        <family val="2"/>
      </rPr>
      <t>Menos:</t>
    </r>
    <r>
      <rPr>
        <sz val="10"/>
        <color indexed="56"/>
        <rFont val="Arial"/>
        <family val="2"/>
      </rPr>
      <t>Aviso de Debito por reclamacion autorizada REC-BR/01-2016 aplicada por el Banco en fecha 02/02/16, no registrada</t>
    </r>
  </si>
  <si>
    <r>
      <t>Mas:</t>
    </r>
    <r>
      <rPr>
        <sz val="11"/>
        <color indexed="56"/>
        <rFont val="Arial"/>
        <family val="2"/>
      </rPr>
      <t xml:space="preserve"> Aviso de Credito  d/f 12/07/2016 No. 198865721 por pago pendiente de Transferir  d/f 08/07/16 s/g Banco </t>
    </r>
  </si>
  <si>
    <r>
      <t>Menos: cargos por servicios</t>
    </r>
    <r>
      <rPr>
        <sz val="12"/>
        <color indexed="56"/>
        <rFont val="Calibri"/>
        <family val="2"/>
      </rPr>
      <t xml:space="preserve"> d/f 29/12/2017</t>
    </r>
  </si>
  <si>
    <r>
      <t xml:space="preserve">Menos: Cargos por Retencion de Estados en Oficina </t>
    </r>
    <r>
      <rPr>
        <b/>
        <sz val="12"/>
        <color indexed="56"/>
        <rFont val="Calibri"/>
        <family val="2"/>
      </rPr>
      <t>d/f 01/08/2018</t>
    </r>
  </si>
  <si>
    <t>CERTIFICACION PERIODICOS, REVISTA Y BOLETINES</t>
  </si>
  <si>
    <t>21</t>
  </si>
  <si>
    <t>Certificacion periodicos, revista y boletines</t>
  </si>
  <si>
    <t xml:space="preserve">Menos: Debito por Pagos Mal Aplicados, mediante AUT-REC-BR/05-2024; ver anexos.                                                                                                                                                                                              </t>
  </si>
  <si>
    <t xml:space="preserve">Menos: Debito por Pagos Mal Aplicados, mediante AUT-REC-BR/06-2024; ver anexos.                                                                                                                                                                                              </t>
  </si>
  <si>
    <t>Mas: Diferencia dejada de aplicar por el Banco en Pagos Mal Aplicados, d/f 26/06/24.</t>
  </si>
  <si>
    <t>Menos: Reembolso por el Banco en Pagos Mal Aplicados, d/f 27/06/24. Por dif. Deja de aplicar en pagos mal aplicado d/f 26/6/24.</t>
  </si>
  <si>
    <t xml:space="preserve">Mas: Comisiones por transacciones d/f 27/6/24 (aplicadas por el Banco de manera erronea) </t>
  </si>
  <si>
    <t>Menos: Reembolso por el Banco en Pagos Mal Aplicados, d/f 27/06/24. (Por dif. Deja de aplicar en pagos mal aplicado d/f 26/6/24.)</t>
  </si>
  <si>
    <t xml:space="preserve">                                                  </t>
  </si>
  <si>
    <t>Registro de Ingresos Diario Correspondiente del 01 al 12 de agosto 2024</t>
  </si>
  <si>
    <t>Faride V. Raful S.</t>
  </si>
  <si>
    <t>Ministra de Interior y Policia</t>
  </si>
  <si>
    <t xml:space="preserve">         Visto Bueno</t>
  </si>
  <si>
    <t xml:space="preserve">Lic. Milton Mena </t>
  </si>
  <si>
    <t xml:space="preserve">                   : Copia de Deposito No. 240909005120020170- Por valor de RD$</t>
  </si>
  <si>
    <t>Mas: Devolucion de Diferencia entre SISNA Y BANCO por Bloqueo en fecha 09/09/24, bloqueo el 30/08/24.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</si>
  <si>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</si>
  <si>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Menos: Debito por Pagos Mal Aplicados, mediante AUT-REC-BR/09-2024, ver anexos.                                                                                                                                                                                              </t>
  </si>
  <si>
    <t xml:space="preserve">Menos: Debito por Pagos Mal Aplicados, mediante AUT-REC-BR/09-2024; ver anexos.                                                                                                                                                                                              </t>
  </si>
  <si>
    <t xml:space="preserve">Menos: Diferencia entre SISNA y Barrido en fecha 20/09/2024, VER MOVIMIENTO CTA., REPORTE SISNA. </t>
  </si>
  <si>
    <t>Mas: Credito por pago Mal Aplicado, (Descontaron sin autorizacion MIP) d/f 25/9/24.</t>
  </si>
  <si>
    <t xml:space="preserve">        </t>
  </si>
  <si>
    <t>Menos: Comision por Manejo de Cuentas Recaudadora 30/09/2024</t>
  </si>
  <si>
    <t xml:space="preserve">Menos: Diferencia entre SISNA y Barrido en fecha 21/10/2024, VER MOVIMIENTO CTA., REPORTE SISNA. </t>
  </si>
  <si>
    <t xml:space="preserve">                                                                                                         </t>
  </si>
  <si>
    <t>Menos: Credito por pago Mal Aplicado d/f 29/10/24 EN LAS DIFER OFIC,CORRESP MIP,AUTORIZ CARTA M-MIP-EXT-00336-2024</t>
  </si>
  <si>
    <t>Menos: Credito por pago Mal Aplicado d/f 31/10/24 EN LAS DIFER OFIC,CORRESP MIP,AUTORIZ CARTA M-MIP-EXT-00336-2024</t>
  </si>
  <si>
    <t>01/11/2024</t>
  </si>
  <si>
    <t>Balance Inicial al 01/11/2024 =============</t>
  </si>
  <si>
    <r>
      <t xml:space="preserve">Para ser depositado en la </t>
    </r>
    <r>
      <rPr>
        <b/>
        <sz val="12"/>
        <rFont val="Times New Roman"/>
        <family val="1"/>
      </rPr>
      <t xml:space="preserve">CUENTA COLECTOR  RECURSOS DIRECTOS MIP  </t>
    </r>
    <r>
      <rPr>
        <sz val="12"/>
        <rFont val="Times New Roman"/>
        <family val="1"/>
      </rPr>
      <t xml:space="preserve">el Valor descrito correspondiente al primer total de los </t>
    </r>
  </si>
  <si>
    <t xml:space="preserve">Transferencia de Ingresos realizada al 01/11/2024 </t>
  </si>
  <si>
    <t>05/11/2024 (por ingresos del  dia 31/10/2024)</t>
  </si>
  <si>
    <t>05/11/2024 (por ingresos del  dia 01/11/2024)</t>
  </si>
  <si>
    <t>Transferencia de Ingresos realizada al 05/11/2024 por ingresos del 31/10/24</t>
  </si>
  <si>
    <t>Transferencia de Ingresos realizada al 05/11/2024 por ingresos del 01/11/24</t>
  </si>
  <si>
    <t>05/11/2024</t>
  </si>
  <si>
    <t>Transferencia de Ingresos realizada al 06/11/2024 por ingresos del 05/11/24</t>
  </si>
  <si>
    <t>06/11/2024 (por ingresos del  dia 05/11/2024)</t>
  </si>
  <si>
    <t>06/11/2024</t>
  </si>
  <si>
    <t>07/11/2024 (por ingresos del  dia 06/11/2024)</t>
  </si>
  <si>
    <t>Transferencia de Ingresos realizada al 07/11/2024 por ingresos del 06/11/24</t>
  </si>
  <si>
    <t>07/11/2024</t>
  </si>
  <si>
    <t>Menos: Debito por Convenio con Banco d/f 07/11/24 (Descontado por error)</t>
  </si>
  <si>
    <t>Menos: Debito por pago Mal Aplicado d/f 07/11/24 EN LAS DIFER OFIC,CORRESP MIP,AUTORIZ CARTA M-MIP-EXT-00336-2024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</si>
  <si>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</si>
  <si>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08/11/2024 (por ingresos del  dia 07/11/2024)</t>
  </si>
  <si>
    <t>Transferencia de Ingresos realizada al 08/11/2024 por ingresos del 07/11/24</t>
  </si>
  <si>
    <t>CREDITO por Convenio con Banco d/f 07/11/24 (Descontado por error)</t>
  </si>
  <si>
    <t>Mas: Credito por Convenio con Banco d/f 08/11/24 (Descontado por error)</t>
  </si>
  <si>
    <t>08/11/2024</t>
  </si>
  <si>
    <t>CARGOS POR CONVENIO CON BANCO, DEBITADO POR ERROR</t>
  </si>
  <si>
    <t>11/11/2024 (por ingresos del  dia 07/11/2024)</t>
  </si>
  <si>
    <t>Transferencia de Ingresos realizada al 11/11/2024 por ingresos del 08/11/24</t>
  </si>
  <si>
    <t>11/11/2024</t>
  </si>
  <si>
    <t>12/11/2024 (por ingresos del  dia 11/11/2024)</t>
  </si>
  <si>
    <t>12/11/2024</t>
  </si>
  <si>
    <t>Transferencia de Ingresos realizada al 12/11/2024 por ingresos del 11/11/24</t>
  </si>
  <si>
    <t>Transferencia de Ingresos realizada al 13/11/2024 por ingresos del 12/11/24</t>
  </si>
  <si>
    <t>13/11/2024 (por ingresos del  dia 12/11/2024)</t>
  </si>
  <si>
    <t>13/11/2024</t>
  </si>
  <si>
    <t>Transferencia de Ingresos realizada al 14/11/2024 por ingresos del 13/11/24</t>
  </si>
  <si>
    <t>14/11/2024 (por ingresos del  dia 13/11/2024)</t>
  </si>
  <si>
    <t>14/11/2024</t>
  </si>
  <si>
    <t>Transferencia de Ingresos realizada al 15/11/2024 por ingresos del 14/11/24</t>
  </si>
  <si>
    <t>15/11/2024 (por ingresos del  dia 14/11/2024)</t>
  </si>
  <si>
    <t>15/11/2024</t>
  </si>
  <si>
    <t>18/11/2024</t>
  </si>
  <si>
    <t>18/11/2024 (por ingresos del  dia 15/11/2024)</t>
  </si>
  <si>
    <t>19/11/2024</t>
  </si>
  <si>
    <t>19/11/2024 (por ingresos del  dia 18/11/2024)</t>
  </si>
  <si>
    <t>Transferencia de Ingresos realizada al 18/11/2024 por ingresos del 15/11/24</t>
  </si>
  <si>
    <t>Transferencia de Ingresos realizada al 19/11/2024 por ingresos del 18/11/24</t>
  </si>
  <si>
    <t>20/11/2024</t>
  </si>
  <si>
    <t>Transferencia de Ingresos realizada al 20/11/2024 por ingresos del 19/11/24</t>
  </si>
  <si>
    <t>20/11/2024 (por ingresos del  dia 19/11/2024)</t>
  </si>
  <si>
    <t>Transferencia de Ingresos realizada al 21/11/2024 por ingresos del 20/11/24</t>
  </si>
  <si>
    <t>21/11/2024 (por ingresos del  dia 20/11/2024)</t>
  </si>
  <si>
    <t>Menos: Debito por Pago mal aplicado d/f 21/11/24, CORRESP MIP,AUTORIZ CARTA M-MIP-EXT-00336-2024</t>
  </si>
  <si>
    <t>Menos: Debito por pago Mal Aplicado d/f 21/11/24 EN LAS DIFER OFIC,CORRESP MIP,AUTORIZ CARTA M-MIP-EXT-00336-2024</t>
  </si>
  <si>
    <t>21/11/2024</t>
  </si>
  <si>
    <t>22/11/2024</t>
  </si>
  <si>
    <t>25/11/2024 (por ingresos del  dia 21/11/2024)</t>
  </si>
  <si>
    <t>25/11/2024 (por ingresos del  dia 22/11/2024)</t>
  </si>
  <si>
    <t xml:space="preserve">Transferencia de Ingresos realizada al 22/11/2024 </t>
  </si>
  <si>
    <t>Transferencia de Ingresos realizada al 25/11/2024 por ingresos del 21/11/24</t>
  </si>
  <si>
    <t>Transferencia de Ingresos realizada al 25/11/2024 por ingresos del 22/11/24</t>
  </si>
  <si>
    <t xml:space="preserve">MAS: Devolucion de Diferencia entre SISNA y Barrido en fecha 25/11/2024, Por Bloqueo en cuenta bancaria,  VER MOVIMIENTO CTA., REPORTE SISNA. </t>
  </si>
  <si>
    <t>25/11/2024</t>
  </si>
  <si>
    <t>Transferencia de Ingresos realizada al 26/11/2024 por ingresos del 25/11/24</t>
  </si>
  <si>
    <t>26/11/2024 (por ingresos del  dia 25/11/2024)</t>
  </si>
  <si>
    <t>26/11/2024</t>
  </si>
  <si>
    <t>SOLICITUD NACIONALIDAD POR MATRIMONIO</t>
  </si>
  <si>
    <t>Transferencia de Ingresos realizada al 27/11/2024 por ingresos del 26/11/24</t>
  </si>
  <si>
    <t>27/11/2024 (por ingresos del  dia 26/11/2024)</t>
  </si>
  <si>
    <t>27/11/2024</t>
  </si>
  <si>
    <t xml:space="preserve">Menos: Diferencia entre SISNA y Barrido en fecha 27/11/2024, Por Bloqueo en cuenta bancaria,  VER MOVIMIENTO CTA., REPORTE SISNA. </t>
  </si>
  <si>
    <t>CERTIFICACION DE NO NACIONALIDAD EXTRANJEROS</t>
  </si>
  <si>
    <t>Transferencia de Ingresos realizada al 28/11/2024 por ingresos del 27/11/24</t>
  </si>
  <si>
    <t>28/11/2024 (por ingresos del  dia 27/11/2024)</t>
  </si>
  <si>
    <t>28/11/2024</t>
  </si>
  <si>
    <t>COMISIÓN MANEJO DE CUENTA</t>
  </si>
  <si>
    <t xml:space="preserve">COMISIÓN MANEJO DE CUENTA  </t>
  </si>
  <si>
    <t>COBRO IMP DGII 0.15%_TRANS TUB 38427294574 01600009227</t>
  </si>
  <si>
    <t xml:space="preserve">  PAGO COLECTOR DEL 28 DE NOV 20</t>
  </si>
  <si>
    <t>COBRO IMP DGII 0.15%_TRANS TUB 38427283374 01600009227</t>
  </si>
  <si>
    <t xml:space="preserve">  PAGO DGII DEL 28 DE NOV 2024</t>
  </si>
  <si>
    <t>CORRESPONDIENTE AL 29 DE NOVIEMBRE 2024</t>
  </si>
  <si>
    <t>Menos: Cargo por transferencias 0.15% del 29/11/24 de Ings.  Del dia 28/11/24.</t>
  </si>
  <si>
    <t>Transferencia de Ingresos realizada al 29/11/2024 por ingresos del 28/11/24</t>
  </si>
  <si>
    <t>29/11/2024 (por ingresos del  dia 28/11/2024)</t>
  </si>
  <si>
    <t>29/11/2024</t>
  </si>
  <si>
    <t>BALANCE SEGÚN BANCO CTA. RECAUDADORA MIP AL 28/11/2024</t>
  </si>
  <si>
    <t>BARRIDO DE  CTA. COLECTORA BANRESERVAS NO. 010-250177-7  A CTA. RECAUDADORA BANRESERVAS MIP NO. 010-250180-7 DEL 29/11/2024</t>
  </si>
  <si>
    <t>DIFERENCIA ACOMULADAS EN PROCESO DE CONCILIACION DESDE 27/08/2017 al 29/11/2024</t>
  </si>
  <si>
    <t xml:space="preserve">DIFERENCIAS  DESDE EL 01 AL 29/11/2024 (VALORES RECLAMADOS BR) </t>
  </si>
  <si>
    <t>BALANCE CONCILIADO AL 29/11/2024</t>
  </si>
  <si>
    <t>Menos: Comision por Manejo de Cuentas Recaudadora 28/11/2024</t>
  </si>
  <si>
    <t>Reportes de los Ingresos según Ley No. 36 y Resolución No. 02-05; 02-06 de los Cobros BanReservas , Caja General y SIRITE al 30/11/2024</t>
  </si>
  <si>
    <t>Total de Ingresos Recaudados del 01 al 30/11/2024 ===========================&gt;</t>
  </si>
  <si>
    <t>Del 30 de Noviembre 2024</t>
  </si>
  <si>
    <t>Del 01/11/2024 al 30/11/2024</t>
  </si>
  <si>
    <t>Ingresos Acumulados 29/11/2024   ========</t>
  </si>
  <si>
    <t>Ingresos del 30/11/2024</t>
  </si>
  <si>
    <t>Total Ingresos Acumulados al 30/11/2024 ====================</t>
  </si>
  <si>
    <r>
      <t>Menos</t>
    </r>
    <r>
      <rPr>
        <b/>
        <sz val="12"/>
        <color indexed="18"/>
        <rFont val="Arial"/>
        <family val="2"/>
      </rPr>
      <t>: Transferencias o Depositos Realizados Del 01 al 30/11/2024=======</t>
    </r>
  </si>
  <si>
    <t>Menos: Cargo por transferencias del  30/11/2024</t>
  </si>
  <si>
    <t>9488 X 105.00</t>
  </si>
  <si>
    <t>Cargos Bancarios 0.15%  del 01 al 30/11/2024</t>
  </si>
  <si>
    <t>SOLICITUD REGISTRO DE NOMBRE, PERIODOS, REVISTA Y VOLANTES</t>
  </si>
  <si>
    <t>CERTIFICACION PERIODOS, REVISTA Y BOLETINES</t>
  </si>
  <si>
    <t>Lic. Milton Mena</t>
  </si>
  <si>
    <t xml:space="preserve">  Visto Bueno</t>
  </si>
  <si>
    <t>Menos: Comision por Manejo de Cuentas Recaudadora 31/3/2025</t>
  </si>
  <si>
    <t xml:space="preserve">Mas: Ingresos por pago cuota y permisos para operar parques y billares D/F 31/03/2025. </t>
  </si>
</sst>
</file>

<file path=xl/styles.xml><?xml version="1.0" encoding="utf-8"?>
<styleSheet xmlns="http://schemas.openxmlformats.org/spreadsheetml/2006/main">
  <numFmts count="47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\ &quot;€&quot;;\-#,##0\ &quot;€&quot;"/>
    <numFmt numFmtId="165" formatCode="#,##0\ &quot;€&quot;;[Red]\-#,##0\ &quot;€&quot;"/>
    <numFmt numFmtId="166" formatCode="#,##0.00\ &quot;€&quot;;\-#,##0.00\ &quot;€&quot;"/>
    <numFmt numFmtId="167" formatCode="#,##0.00\ &quot;€&quot;;[Red]\-#,##0.00\ &quot;€&quot;"/>
    <numFmt numFmtId="168" formatCode="_-* #,##0\ &quot;€&quot;_-;\-* #,##0\ &quot;€&quot;_-;_-* &quot;-&quot;\ &quot;€&quot;_-;_-@_-"/>
    <numFmt numFmtId="169" formatCode="_-* #,##0\ _€_-;\-* #,##0\ _€_-;_-* &quot;-&quot;\ _€_-;_-@_-"/>
    <numFmt numFmtId="170" formatCode="_-* #,##0.00\ &quot;€&quot;_-;\-* #,##0.00\ &quot;€&quot;_-;_-* &quot;-&quot;??\ &quot;€&quot;_-;_-@_-"/>
    <numFmt numFmtId="171" formatCode="_-* #,##0.00\ _€_-;\-* #,##0.00\ _€_-;_-* &quot;-&quot;??\ _€_-;_-@_-"/>
    <numFmt numFmtId="172" formatCode="&quot;RD$&quot;#,##0_);\(&quot;RD$&quot;#,##0\)"/>
    <numFmt numFmtId="173" formatCode="&quot;RD$&quot;#,##0_);[Red]\(&quot;RD$&quot;#,##0\)"/>
    <numFmt numFmtId="174" formatCode="&quot;RD$&quot;#,##0.00_);\(&quot;RD$&quot;#,##0.00\)"/>
    <numFmt numFmtId="175" formatCode="&quot;RD$&quot;#,##0.00_);[Red]\(&quot;RD$&quot;#,##0.00\)"/>
    <numFmt numFmtId="176" formatCode="_(&quot;RD$&quot;* #,##0_);_(&quot;RD$&quot;* \(#,##0\);_(&quot;RD$&quot;* &quot;-&quot;_);_(@_)"/>
    <numFmt numFmtId="177" formatCode="_(&quot;RD$&quot;* #,##0.00_);_(&quot;RD$&quot;* \(#,##0.00\);_(&quot;RD$&quot;* &quot;-&quot;??_);_(@_)"/>
    <numFmt numFmtId="178" formatCode="_-* #,##0.00_-;\-* #,##0.00_-;_-* &quot;-&quot;??_-;_-@_-"/>
    <numFmt numFmtId="179" formatCode="_([$€]* #,##0.00_);_([$€]* \(#,##0.00\);_([$€]* &quot;-&quot;??_);_(@_)"/>
    <numFmt numFmtId="180" formatCode="dd\/mm\/yyyy"/>
    <numFmt numFmtId="181" formatCode="_(&quot;$U&quot;\ * #,##0_);_(&quot;$U&quot;\ * \(#,##0\);_(&quot;$U&quot;\ * &quot;-&quot;_);_(@_)"/>
    <numFmt numFmtId="182" formatCode="_(&quot;$U&quot;\ * #,##0.00_);_(&quot;$U&quot;\ * \(#,##0.00\);_(&quot;$U&quot;\ * &quot;-&quot;??_);_(@_)"/>
    <numFmt numFmtId="183" formatCode="&quot;Sí&quot;;&quot;Sí&quot;;&quot;No&quot;"/>
    <numFmt numFmtId="184" formatCode="&quot;Verdadero&quot;;&quot;Verdadero&quot;;&quot;Falso&quot;"/>
    <numFmt numFmtId="185" formatCode="&quot;Activado&quot;;&quot;Activado&quot;;&quot;Desactivado&quot;"/>
    <numFmt numFmtId="186" formatCode="[$€-2]\ #,##0.00_);[Red]\([$€-2]\ #,##0.00\)"/>
    <numFmt numFmtId="187" formatCode="[$-1C0A]dddd\,\ dd&quot; de &quot;mmmm&quot; de &quot;yyyy"/>
    <numFmt numFmtId="188" formatCode="[$-1C0A]hh:mm:ss\ AM/PM"/>
    <numFmt numFmtId="189" formatCode="0.0"/>
    <numFmt numFmtId="190" formatCode="0.000"/>
    <numFmt numFmtId="191" formatCode="_(* #,##0.0_);_(* \(#,##0.0\);_(* &quot;-&quot;??_);_(@_)"/>
    <numFmt numFmtId="192" formatCode="_(* #,##0_);_(* \(#,##0\);_(* &quot;-&quot;??_);_(@_)"/>
    <numFmt numFmtId="193" formatCode="_([$RD$-1C0A]* #,##0.00_);_([$RD$-1C0A]* \(#,##0.00\);_([$RD$-1C0A]* &quot;-&quot;??_);_(@_)"/>
    <numFmt numFmtId="194" formatCode="_-* #,##0.0_-;\-* #,##0.0_-;_-* &quot;-&quot;??_-;_-@_-"/>
    <numFmt numFmtId="195" formatCode="_-* #,##0_-;\-* #,##0_-;_-* &quot;-&quot;??_-;_-@_-"/>
    <numFmt numFmtId="196" formatCode="&quot;$&quot;#,##0.00"/>
    <numFmt numFmtId="197" formatCode="[$-1C0A]dddd\,\ d\ &quot;de&quot;\ mmmm\ &quot;de&quot;\ yyyy"/>
    <numFmt numFmtId="198" formatCode="[$-1C0A]h:mm:ss\ AM/PM"/>
    <numFmt numFmtId="199" formatCode="_(* #,##0.000_);_(* \(#,##0.000\);_(* &quot;-&quot;???_);_(@_)"/>
    <numFmt numFmtId="200" formatCode="_(* #,##0.0_);_(* \(#,##0.0\);_(* &quot;-&quot;?_);_(@_)"/>
    <numFmt numFmtId="201" formatCode="_(* #,##0.0000_);_(* \(#,##0.0000\);_(* &quot;-&quot;????_);_(@_)"/>
    <numFmt numFmtId="202" formatCode="mmm\-yyyy"/>
  </numFmts>
  <fonts count="184">
    <font>
      <sz val="10"/>
      <name val="Arial"/>
      <family val="0"/>
    </font>
    <font>
      <sz val="10"/>
      <color theme="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 val="single"/>
      <sz val="10"/>
      <color indexed="12"/>
      <name val="Arial"/>
      <family val="2"/>
    </font>
    <font>
      <u val="single"/>
      <sz val="10"/>
      <color indexed="36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u val="single"/>
      <sz val="14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i/>
      <sz val="12"/>
      <name val="Arial"/>
      <family val="2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i/>
      <u val="single"/>
      <sz val="12"/>
      <name val="Times New Roman"/>
      <family val="1"/>
    </font>
    <font>
      <b/>
      <u val="single"/>
      <sz val="12"/>
      <name val="Times New Roman"/>
      <family val="1"/>
    </font>
    <font>
      <b/>
      <sz val="16"/>
      <name val="Arial"/>
      <family val="2"/>
    </font>
    <font>
      <b/>
      <sz val="10"/>
      <color indexed="8"/>
      <name val="Arial"/>
      <family val="2"/>
    </font>
    <font>
      <b/>
      <u val="single"/>
      <sz val="12"/>
      <name val="Arial"/>
      <family val="2"/>
    </font>
    <font>
      <b/>
      <i/>
      <sz val="36"/>
      <name val="Times New Roman"/>
      <family val="1"/>
    </font>
    <font>
      <b/>
      <i/>
      <sz val="26"/>
      <name val="Times New Roman"/>
      <family val="1"/>
    </font>
    <font>
      <sz val="14"/>
      <name val="Arial"/>
      <family val="2"/>
    </font>
    <font>
      <b/>
      <i/>
      <sz val="14"/>
      <name val="Times New Roman"/>
      <family val="1"/>
    </font>
    <font>
      <b/>
      <i/>
      <sz val="18"/>
      <name val="Times New Roman"/>
      <family val="1"/>
    </font>
    <font>
      <sz val="10"/>
      <name val="Times New Roman"/>
      <family val="1"/>
    </font>
    <font>
      <b/>
      <sz val="12"/>
      <color indexed="9"/>
      <name val="Times New Roman"/>
      <family val="1"/>
    </font>
    <font>
      <b/>
      <i/>
      <u val="single"/>
      <sz val="12"/>
      <name val="Arial"/>
      <family val="2"/>
    </font>
    <font>
      <i/>
      <sz val="12"/>
      <name val="Arial"/>
      <family val="2"/>
    </font>
    <font>
      <b/>
      <i/>
      <sz val="22"/>
      <name val="Times New Roman"/>
      <family val="1"/>
    </font>
    <font>
      <sz val="26"/>
      <name val="Arial"/>
      <family val="2"/>
    </font>
    <font>
      <b/>
      <i/>
      <sz val="16"/>
      <name val="Times New Roman"/>
      <family val="1"/>
    </font>
    <font>
      <sz val="16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u val="single"/>
      <sz val="14"/>
      <color indexed="9"/>
      <name val="Times New Roman"/>
      <family val="1"/>
    </font>
    <font>
      <b/>
      <sz val="14"/>
      <color indexed="9"/>
      <name val="Times New Roman"/>
      <family val="1"/>
    </font>
    <font>
      <sz val="14"/>
      <color indexed="9"/>
      <name val="Times New Roman"/>
      <family val="1"/>
    </font>
    <font>
      <b/>
      <i/>
      <sz val="20"/>
      <color indexed="9"/>
      <name val="Times New Roman"/>
      <family val="1"/>
    </font>
    <font>
      <b/>
      <i/>
      <sz val="12"/>
      <color indexed="9"/>
      <name val="Arial"/>
      <family val="2"/>
    </font>
    <font>
      <b/>
      <i/>
      <sz val="10"/>
      <color indexed="9"/>
      <name val="Arial"/>
      <family val="2"/>
    </font>
    <font>
      <u val="single"/>
      <sz val="12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Times New Roman"/>
      <family val="1"/>
    </font>
    <font>
      <b/>
      <sz val="11"/>
      <name val="Arial"/>
      <family val="2"/>
    </font>
    <font>
      <b/>
      <u val="single"/>
      <sz val="11"/>
      <name val="Arial"/>
      <family val="2"/>
    </font>
    <font>
      <sz val="11"/>
      <name val="Arial"/>
      <family val="2"/>
    </font>
    <font>
      <b/>
      <u val="single"/>
      <sz val="10"/>
      <name val="Arial"/>
      <family val="2"/>
    </font>
    <font>
      <b/>
      <i/>
      <u val="single"/>
      <sz val="18"/>
      <name val="Times New Roman"/>
      <family val="1"/>
    </font>
    <font>
      <b/>
      <sz val="14"/>
      <color indexed="8"/>
      <name val="Arial"/>
      <family val="2"/>
    </font>
    <font>
      <u val="single"/>
      <sz val="11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8"/>
      <name val="Arial"/>
      <family val="2"/>
    </font>
    <font>
      <b/>
      <sz val="14"/>
      <color indexed="8"/>
      <name val="Calibri"/>
      <family val="2"/>
    </font>
    <font>
      <b/>
      <sz val="20"/>
      <name val="Arial"/>
      <family val="2"/>
    </font>
    <font>
      <b/>
      <i/>
      <u val="single"/>
      <sz val="16"/>
      <name val="Arial"/>
      <family val="2"/>
    </font>
    <font>
      <b/>
      <i/>
      <u val="single"/>
      <sz val="14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b/>
      <i/>
      <u val="single"/>
      <sz val="14"/>
      <color indexed="30"/>
      <name val="Arial"/>
      <family val="2"/>
    </font>
    <font>
      <b/>
      <u val="single"/>
      <sz val="12"/>
      <color indexed="9"/>
      <name val="Times New Roman"/>
      <family val="1"/>
    </font>
    <font>
      <b/>
      <sz val="16"/>
      <color indexed="8"/>
      <name val="Calibri"/>
      <family val="2"/>
    </font>
    <font>
      <b/>
      <i/>
      <u val="single"/>
      <sz val="16"/>
      <name val="Times New Roman"/>
      <family val="1"/>
    </font>
    <font>
      <b/>
      <i/>
      <u val="single"/>
      <sz val="10"/>
      <name val="Arial"/>
      <family val="2"/>
    </font>
    <font>
      <sz val="11"/>
      <color indexed="63"/>
      <name val="Arial"/>
      <family val="2"/>
    </font>
    <font>
      <b/>
      <sz val="24"/>
      <name val="Arial"/>
      <family val="2"/>
    </font>
    <font>
      <u val="single"/>
      <sz val="16"/>
      <name val="Arial"/>
      <family val="2"/>
    </font>
    <font>
      <b/>
      <i/>
      <sz val="16"/>
      <name val="Arial"/>
      <family val="2"/>
    </font>
    <font>
      <b/>
      <sz val="12"/>
      <color indexed="63"/>
      <name val="Times New Roman"/>
      <family val="1"/>
    </font>
    <font>
      <b/>
      <sz val="12"/>
      <color indexed="8"/>
      <name val="Times New Roman"/>
      <family val="1"/>
    </font>
    <font>
      <b/>
      <u val="single"/>
      <sz val="14"/>
      <color indexed="10"/>
      <name val="Times New Roman"/>
      <family val="1"/>
    </font>
    <font>
      <b/>
      <sz val="16"/>
      <color indexed="8"/>
      <name val="Arial"/>
      <family val="2"/>
    </font>
    <font>
      <b/>
      <sz val="10"/>
      <color indexed="10"/>
      <name val="Times New Roman"/>
      <family val="1"/>
    </font>
    <font>
      <sz val="12"/>
      <color indexed="10"/>
      <name val="Times New Roman"/>
      <family val="1"/>
    </font>
    <font>
      <sz val="11"/>
      <color indexed="10"/>
      <name val="Arial"/>
      <family val="2"/>
    </font>
    <font>
      <sz val="14"/>
      <color indexed="18"/>
      <name val="Arial"/>
      <family val="2"/>
    </font>
    <font>
      <sz val="10"/>
      <color indexed="56"/>
      <name val="Arial"/>
      <family val="2"/>
    </font>
    <font>
      <sz val="14"/>
      <color indexed="56"/>
      <name val="Arial"/>
      <family val="2"/>
    </font>
    <font>
      <b/>
      <sz val="12"/>
      <color indexed="56"/>
      <name val="Calibri"/>
      <family val="2"/>
    </font>
    <font>
      <b/>
      <sz val="11"/>
      <color indexed="56"/>
      <name val="Arial"/>
      <family val="2"/>
    </font>
    <font>
      <b/>
      <u val="single"/>
      <sz val="11"/>
      <color indexed="56"/>
      <name val="Arial"/>
      <family val="2"/>
    </font>
    <font>
      <sz val="11"/>
      <color indexed="56"/>
      <name val="Arial"/>
      <family val="2"/>
    </font>
    <font>
      <b/>
      <u val="single"/>
      <sz val="10"/>
      <color indexed="56"/>
      <name val="Arial"/>
      <family val="2"/>
    </font>
    <font>
      <sz val="12"/>
      <color indexed="56"/>
      <name val="Calibri"/>
      <family val="2"/>
    </font>
    <font>
      <b/>
      <sz val="14"/>
      <color indexed="18"/>
      <name val="Arial"/>
      <family val="2"/>
    </font>
    <font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2"/>
      <color indexed="18"/>
      <name val="Calibri"/>
      <family val="2"/>
    </font>
    <font>
      <sz val="10"/>
      <color indexed="18"/>
      <name val="Arial"/>
      <family val="2"/>
    </font>
    <font>
      <sz val="20"/>
      <color indexed="18"/>
      <name val="Calibri"/>
      <family val="2"/>
    </font>
    <font>
      <sz val="20"/>
      <color indexed="18"/>
      <name val="Arial"/>
      <family val="2"/>
    </font>
    <font>
      <sz val="18"/>
      <color indexed="18"/>
      <name val="Calibri"/>
      <family val="2"/>
    </font>
    <font>
      <sz val="22"/>
      <color indexed="18"/>
      <name val="Arial"/>
      <family val="2"/>
    </font>
    <font>
      <b/>
      <sz val="20"/>
      <color indexed="18"/>
      <name val="Calibri"/>
      <family val="2"/>
    </font>
    <font>
      <b/>
      <u val="single"/>
      <sz val="20"/>
      <color indexed="18"/>
      <name val="Calibri"/>
      <family val="2"/>
    </font>
    <font>
      <sz val="18"/>
      <color indexed="18"/>
      <name val="Arial"/>
      <family val="2"/>
    </font>
    <font>
      <b/>
      <u val="single"/>
      <sz val="18"/>
      <color indexed="18"/>
      <name val="Arial"/>
      <family val="2"/>
    </font>
    <font>
      <b/>
      <sz val="18"/>
      <color indexed="18"/>
      <name val="Arial"/>
      <family val="2"/>
    </font>
    <font>
      <sz val="14"/>
      <color indexed="18"/>
      <name val="Calibri"/>
      <family val="2"/>
    </font>
    <font>
      <b/>
      <sz val="12"/>
      <color indexed="18"/>
      <name val="Arial"/>
      <family val="2"/>
    </font>
    <font>
      <b/>
      <sz val="14"/>
      <color indexed="18"/>
      <name val="Calibri"/>
      <family val="2"/>
    </font>
    <font>
      <sz val="12"/>
      <color indexed="56"/>
      <name val="Arial"/>
      <family val="2"/>
    </font>
    <font>
      <b/>
      <sz val="12"/>
      <color indexed="56"/>
      <name val="Arial"/>
      <family val="2"/>
    </font>
    <font>
      <b/>
      <sz val="14"/>
      <color indexed="56"/>
      <name val="Arial"/>
      <family val="2"/>
    </font>
    <font>
      <b/>
      <sz val="16"/>
      <color indexed="56"/>
      <name val="Arial"/>
      <family val="2"/>
    </font>
    <font>
      <b/>
      <sz val="14"/>
      <color indexed="56"/>
      <name val="Times New Roman"/>
      <family val="1"/>
    </font>
    <font>
      <sz val="14"/>
      <color indexed="56"/>
      <name val="Times New Roman"/>
      <family val="1"/>
    </font>
    <font>
      <b/>
      <sz val="16"/>
      <color indexed="56"/>
      <name val="Times New Roman"/>
      <family val="1"/>
    </font>
    <font>
      <b/>
      <i/>
      <u val="single"/>
      <sz val="16"/>
      <color indexed="56"/>
      <name val="Arial"/>
      <family val="2"/>
    </font>
    <font>
      <b/>
      <i/>
      <sz val="12"/>
      <color indexed="56"/>
      <name val="Arial"/>
      <family val="2"/>
    </font>
    <font>
      <b/>
      <sz val="16"/>
      <color indexed="56"/>
      <name val="Calibri"/>
      <family val="2"/>
    </font>
    <font>
      <b/>
      <sz val="14"/>
      <color indexed="56"/>
      <name val="Calibri"/>
      <family val="2"/>
    </font>
    <font>
      <sz val="16"/>
      <color indexed="56"/>
      <name val="Arial"/>
      <family val="2"/>
    </font>
    <font>
      <b/>
      <i/>
      <sz val="16"/>
      <color indexed="56"/>
      <name val="Arial"/>
      <family val="2"/>
    </font>
    <font>
      <u val="single"/>
      <sz val="14"/>
      <color indexed="56"/>
      <name val="Arial"/>
      <family val="2"/>
    </font>
    <font>
      <b/>
      <sz val="10"/>
      <color indexed="56"/>
      <name val="Arial"/>
      <family val="2"/>
    </font>
    <font>
      <sz val="10"/>
      <color indexed="8"/>
      <name val="Calibri"/>
      <family val="2"/>
    </font>
    <font>
      <b/>
      <sz val="28"/>
      <color indexed="18"/>
      <name val="Colonna MT"/>
      <family val="5"/>
    </font>
    <font>
      <b/>
      <sz val="14"/>
      <color indexed="18"/>
      <name val="Yu Gothic UI"/>
      <family val="2"/>
    </font>
    <font>
      <b/>
      <sz val="24"/>
      <color indexed="18"/>
      <name val="Arial"/>
      <family val="2"/>
    </font>
    <font>
      <b/>
      <sz val="20"/>
      <color indexed="18"/>
      <name val="Arial"/>
      <family val="2"/>
    </font>
    <font>
      <b/>
      <sz val="24"/>
      <color indexed="56"/>
      <name val="Arial"/>
      <family val="2"/>
    </font>
    <font>
      <b/>
      <sz val="20"/>
      <color indexed="56"/>
      <name val="Arial"/>
      <family val="2"/>
    </font>
    <font>
      <b/>
      <u val="single"/>
      <sz val="12"/>
      <color indexed="56"/>
      <name val="Arial"/>
      <family val="2"/>
    </font>
    <font>
      <u val="single"/>
      <sz val="11"/>
      <color indexed="56"/>
      <name val="Arial"/>
      <family val="2"/>
    </font>
    <font>
      <u val="single"/>
      <sz val="12"/>
      <color indexed="18"/>
      <name val="Arial"/>
      <family val="2"/>
    </font>
    <font>
      <sz val="16"/>
      <color indexed="18"/>
      <name val="Arial"/>
      <family val="2"/>
    </font>
    <font>
      <u val="single"/>
      <sz val="16"/>
      <color indexed="56"/>
      <name val="Arial"/>
      <family val="2"/>
    </font>
    <font>
      <b/>
      <u val="single"/>
      <sz val="16"/>
      <color indexed="56"/>
      <name val="Arial"/>
      <family val="2"/>
    </font>
    <font>
      <b/>
      <u val="single"/>
      <sz val="12"/>
      <color indexed="18"/>
      <name val="Arial"/>
      <family val="2"/>
    </font>
    <font>
      <b/>
      <sz val="10"/>
      <name val="Times New Roman"/>
      <family val="1"/>
    </font>
    <font>
      <sz val="11"/>
      <color indexed="8"/>
      <name val="Arial"/>
      <family val="2"/>
    </font>
    <font>
      <b/>
      <sz val="24"/>
      <name val="Tw Cen MT"/>
      <family val="2"/>
    </font>
    <font>
      <sz val="22"/>
      <name val="Tw Cen MT"/>
      <family val="2"/>
    </font>
    <font>
      <b/>
      <sz val="14"/>
      <name val="Sitka Banner"/>
      <family val="0"/>
    </font>
    <font>
      <sz val="18"/>
      <name val="Tw Cen MT"/>
      <family val="2"/>
    </font>
    <font>
      <b/>
      <sz val="18"/>
      <name val="Tw Cen MT"/>
      <family val="2"/>
    </font>
    <font>
      <b/>
      <sz val="16"/>
      <name val="Times New Roman"/>
      <family val="1"/>
    </font>
    <font>
      <sz val="16"/>
      <name val="Times New Roman"/>
      <family val="1"/>
    </font>
    <font>
      <b/>
      <u val="single"/>
      <sz val="16"/>
      <name val="Times New Roman"/>
      <family val="1"/>
    </font>
    <font>
      <b/>
      <sz val="18"/>
      <name val="Times New Roman"/>
      <family val="1"/>
    </font>
    <font>
      <sz val="18"/>
      <name val="Times New Roman"/>
      <family val="1"/>
    </font>
    <font>
      <b/>
      <u val="single"/>
      <sz val="18"/>
      <name val="Times New Roman"/>
      <family val="1"/>
    </font>
    <font>
      <u val="single"/>
      <sz val="18"/>
      <name val="Times New Roman"/>
      <family val="1"/>
    </font>
    <font>
      <sz val="2"/>
      <color indexed="8"/>
      <name val="Calibri"/>
      <family val="0"/>
    </font>
    <font>
      <b/>
      <sz val="14"/>
      <color theme="3" tint="-0.249960005283356"/>
      <name val="Arial"/>
      <family val="2"/>
    </font>
    <font>
      <b/>
      <sz val="16"/>
      <color theme="3" tint="-0.249960005283356"/>
      <name val="Arial"/>
      <family val="2"/>
    </font>
    <font>
      <sz val="11"/>
      <color rgb="FF333333"/>
      <name val="Arial"/>
      <family val="2"/>
    </font>
    <font>
      <b/>
      <sz val="11"/>
      <color theme="1"/>
      <name val="Calibri"/>
      <family val="2"/>
    </font>
    <font>
      <b/>
      <sz val="11"/>
      <color theme="3"/>
      <name val="Calibri"/>
      <family val="2"/>
    </font>
    <font>
      <b/>
      <sz val="13"/>
      <color theme="3"/>
      <name val="Calibri"/>
      <family val="2"/>
    </font>
    <font>
      <b/>
      <sz val="15"/>
      <color theme="3"/>
      <name val="Calibri"/>
      <family val="2"/>
    </font>
    <font>
      <b/>
      <sz val="18"/>
      <color theme="3"/>
      <name val="Cambria"/>
      <family val="2"/>
    </font>
    <font>
      <i/>
      <sz val="11"/>
      <color rgb="FF7F7F7F"/>
      <name val="Calibri"/>
      <family val="2"/>
    </font>
    <font>
      <sz val="11"/>
      <color rgb="FFFF0000"/>
      <name val="Calibri"/>
      <family val="2"/>
    </font>
    <font>
      <b/>
      <sz val="11"/>
      <color rgb="FF3F3F3F"/>
      <name val="Calibri"/>
      <family val="2"/>
    </font>
    <font>
      <sz val="11"/>
      <color theme="1"/>
      <name val="Calibri"/>
      <family val="2"/>
    </font>
    <font>
      <sz val="11"/>
      <color rgb="FF9C6500"/>
      <name val="Calibri"/>
      <family val="2"/>
    </font>
    <font>
      <sz val="11"/>
      <color rgb="FF9C0006"/>
      <name val="Calibri"/>
      <family val="2"/>
    </font>
    <font>
      <sz val="11"/>
      <color rgb="FF3F3F76"/>
      <name val="Calibri"/>
      <family val="2"/>
    </font>
    <font>
      <sz val="11"/>
      <color theme="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b/>
      <sz val="11"/>
      <color rgb="FFFA7D00"/>
      <name val="Calibri"/>
      <family val="2"/>
    </font>
    <font>
      <sz val="10"/>
      <color rgb="FF000000"/>
      <name val="Calibri"/>
      <family val="2"/>
    </font>
    <font>
      <sz val="2"/>
      <color rgb="FF000000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6"/>
        <bgColor indexed="64"/>
      </patternFill>
    </fill>
  </fills>
  <borders count="1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>
        <color indexed="0"/>
      </left>
      <right>
        <color indexed="0"/>
      </right>
      <top>
        <color indexed="0"/>
      </top>
      <bottom style="double">
        <color indexed="52"/>
      </bottom>
    </border>
    <border>
      <left>
        <color indexed="0"/>
      </left>
      <right>
        <color indexed="0"/>
      </right>
      <top>
        <color indexed="0"/>
      </top>
      <bottom style="thick">
        <color indexed="62"/>
      </bottom>
    </border>
    <border>
      <left>
        <color indexed="0"/>
      </left>
      <right>
        <color indexed="0"/>
      </right>
      <top>
        <color indexed="0"/>
      </top>
      <bottom style="thick">
        <color indexed="22"/>
      </bottom>
    </border>
    <border>
      <left>
        <color indexed="0"/>
      </left>
      <right>
        <color indexed="0"/>
      </right>
      <top>
        <color indexed="0"/>
      </top>
      <bottom style="medium">
        <color indexed="30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>
        <color indexed="0"/>
      </left>
      <right>
        <color indexed="0"/>
      </right>
      <top style="thin">
        <color indexed="62"/>
      </top>
      <bottom style="double">
        <color indexed="62"/>
      </bottom>
    </border>
    <border>
      <left style="medium">
        <color auto="1"/>
      </left>
      <right style="thin">
        <color auto="1"/>
      </right>
      <top style="medium">
        <color auto="1"/>
      </top>
      <bottom>
        <color indexed="0"/>
      </bottom>
    </border>
    <border>
      <left style="thin">
        <color auto="1"/>
      </left>
      <right style="thin">
        <color auto="1"/>
      </right>
      <top style="medium">
        <color auto="1"/>
      </top>
      <bottom>
        <color indexed="0"/>
      </bottom>
    </border>
    <border>
      <left style="thin">
        <color auto="1"/>
      </left>
      <right>
        <color indexed="0"/>
      </right>
      <top style="medium">
        <color auto="1"/>
      </top>
      <bottom>
        <color indexed="0"/>
      </bottom>
    </border>
    <border>
      <left style="thin">
        <color auto="1"/>
      </left>
      <right style="medium">
        <color auto="1"/>
      </right>
      <top style="medium">
        <color auto="1"/>
      </top>
      <bottom>
        <color indexed="0"/>
      </bottom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>
        <color indexed="0"/>
      </left>
      <right>
        <color indexed="0"/>
      </right>
      <top>
        <color indexed="0"/>
      </top>
      <bottom style="medium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>
        <color indexed="0"/>
      </left>
      <right style="medium">
        <color auto="1"/>
      </right>
      <top>
        <color indexed="0"/>
      </top>
      <bottom style="thin">
        <color auto="1"/>
      </bottom>
    </border>
    <border>
      <left>
        <color indexed="0"/>
      </left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>
        <color indexed="0"/>
      </bottom>
    </border>
    <border>
      <left>
        <color indexed="0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>
        <color indexed="0"/>
      </top>
      <bottom style="thin">
        <color auto="1"/>
      </bottom>
    </border>
    <border>
      <left style="thin">
        <color auto="1"/>
      </left>
      <right style="thin">
        <color auto="1"/>
      </right>
      <top>
        <color indexed="0"/>
      </top>
      <bottom style="thin">
        <color auto="1"/>
      </bottom>
    </border>
    <border>
      <left style="thin">
        <color auto="1"/>
      </left>
      <right>
        <color indexed="0"/>
      </right>
      <top>
        <color indexed="0"/>
      </top>
      <bottom style="thin">
        <color auto="1"/>
      </bottom>
    </border>
    <border>
      <left style="thin">
        <color auto="1"/>
      </left>
      <right>
        <color indexed="0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>
        <color indexed="0"/>
      </top>
      <bottom style="medium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>
        <color indexed="0"/>
      </right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>
        <color indexed="0"/>
      </right>
      <top style="thin">
        <color auto="1"/>
      </top>
      <bottom style="double">
        <color auto="1"/>
      </bottom>
    </border>
    <border>
      <left style="medium">
        <color auto="1"/>
      </left>
      <right>
        <color indexed="0"/>
      </right>
      <top style="medium">
        <color auto="1"/>
      </top>
      <bottom>
        <color indexed="0"/>
      </bottom>
    </border>
    <border>
      <left style="medium">
        <color auto="1"/>
      </left>
      <right style="medium">
        <color auto="1"/>
      </right>
      <top style="medium">
        <color auto="1"/>
      </top>
      <bottom>
        <color indexed="0"/>
      </bottom>
    </border>
    <border>
      <left>
        <color indexed="0"/>
      </left>
      <right>
        <color indexed="0"/>
      </right>
      <top style="medium">
        <color auto="1"/>
      </top>
      <bottom>
        <color indexed="0"/>
      </bottom>
    </border>
    <border>
      <left style="medium">
        <color auto="1"/>
      </left>
      <right>
        <color indexed="0"/>
      </right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>
        <color indexed="0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>
        <color indexed="0"/>
      </right>
      <top style="thin">
        <color auto="1"/>
      </top>
      <bottom style="thin">
        <color auto="1"/>
      </bottom>
    </border>
    <border>
      <left>
        <color indexed="0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>
        <color indexed="0"/>
      </right>
      <top style="thin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>
        <color indexed="0"/>
      </left>
      <right style="thin">
        <color auto="1"/>
      </right>
      <top style="thin">
        <color auto="1"/>
      </top>
      <bottom style="medium">
        <color auto="1"/>
      </bottom>
    </border>
    <border>
      <left>
        <color indexed="0"/>
      </left>
      <right style="thin">
        <color auto="1"/>
      </right>
      <top>
        <color indexed="0"/>
      </top>
      <bottom style="medium">
        <color auto="1"/>
      </bottom>
    </border>
    <border>
      <left style="thin">
        <color auto="1"/>
      </left>
      <right style="medium">
        <color auto="1"/>
      </right>
      <top>
        <color indexed="0"/>
      </top>
      <bottom style="medium">
        <color auto="1"/>
      </bottom>
    </border>
    <border>
      <left>
        <color indexed="0"/>
      </left>
      <right style="medium">
        <color auto="1"/>
      </right>
      <top>
        <color indexed="0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 style="medium">
        <color auto="1"/>
      </bottom>
    </border>
    <border>
      <left>
        <color indexed="0"/>
      </left>
      <right>
        <color indexed="0"/>
      </right>
      <top style="thin">
        <color auto="1"/>
      </top>
      <bottom style="double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>
        <color indexed="0"/>
      </left>
      <right style="medium">
        <color auto="1"/>
      </right>
      <top style="medium">
        <color auto="1"/>
      </top>
      <bottom style="medium">
        <color auto="1"/>
      </bottom>
    </border>
    <border>
      <left>
        <color indexed="0"/>
      </left>
      <right style="thin">
        <color auto="1"/>
      </right>
      <top>
        <color indexed="0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>
        <color indexed="0"/>
      </bottom>
    </border>
    <border>
      <left style="thin">
        <color auto="1"/>
      </left>
      <right>
        <color indexed="0"/>
      </right>
      <top style="thin">
        <color auto="1"/>
      </top>
      <bottom>
        <color indexed="0"/>
      </bottom>
    </border>
    <border>
      <left style="thin">
        <color auto="1"/>
      </left>
      <right>
        <color indexed="0"/>
      </right>
      <top style="thin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>
        <color indexed="0"/>
      </top>
      <bottom style="double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>
        <color indexed="0"/>
      </right>
      <top style="thin">
        <color auto="1"/>
      </top>
      <bottom>
        <color indexed="0"/>
      </bottom>
    </border>
    <border>
      <left>
        <color indexed="0"/>
      </left>
      <right style="thin">
        <color auto="1"/>
      </right>
      <top style="thin">
        <color auto="1"/>
      </top>
      <bottom>
        <color indexed="0"/>
      </bottom>
    </border>
    <border>
      <left style="medium">
        <color auto="1"/>
      </left>
      <right>
        <color indexed="0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>
        <color indexed="0"/>
      </top>
      <bottom style="medium">
        <color auto="1"/>
      </bottom>
    </border>
    <border>
      <left style="thin">
        <color auto="1"/>
      </left>
      <right style="medium">
        <color auto="1"/>
      </right>
      <top>
        <color indexed="0"/>
      </top>
      <bottom>
        <color indexed="0"/>
      </bottom>
    </border>
    <border>
      <left>
        <color indexed="0"/>
      </left>
      <right>
        <color indexed="0"/>
      </right>
      <top style="thin">
        <color auto="1"/>
      </top>
      <bottom style="thin">
        <color auto="1"/>
      </bottom>
    </border>
    <border>
      <left style="medium">
        <color auto="1"/>
      </left>
      <right>
        <color indexed="0"/>
      </right>
      <top>
        <color indexed="0"/>
      </top>
      <bottom style="double">
        <color auto="1"/>
      </bottom>
    </border>
    <border>
      <left>
        <color indexed="0"/>
      </left>
      <right style="thin">
        <color auto="1"/>
      </right>
      <top>
        <color indexed="0"/>
      </top>
      <bottom style="double">
        <color auto="1"/>
      </bottom>
    </border>
    <border>
      <left>
        <color indexed="0"/>
      </left>
      <right>
        <color indexed="0"/>
      </right>
      <top>
        <color indexed="0"/>
      </top>
      <bottom style="double">
        <color auto="1"/>
      </bottom>
    </border>
    <border>
      <left>
        <color indexed="0"/>
      </left>
      <right style="thin">
        <color auto="1"/>
      </right>
      <top>
        <color indexed="0"/>
      </top>
      <bottom>
        <color indexed="0"/>
      </bottom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 style="thin">
        <color auto="1"/>
      </bottom>
    </border>
    <border>
      <left>
        <color indexed="0"/>
      </left>
      <right>
        <color indexed="0"/>
      </right>
      <top>
        <color indexed="0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 style="thin">
        <color auto="1"/>
      </right>
      <top>
        <color indexed="0"/>
      </top>
      <bottom>
        <color indexed="0"/>
      </bottom>
    </border>
    <border>
      <left style="medium">
        <color auto="1"/>
      </left>
      <right>
        <color indexed="0"/>
      </right>
      <top>
        <color indexed="0"/>
      </top>
      <bottom style="medium">
        <color auto="1"/>
      </bottom>
    </border>
    <border>
      <left>
        <color indexed="0"/>
      </left>
      <right>
        <color indexed="0"/>
      </right>
      <top style="thin">
        <color auto="1"/>
      </top>
      <bottom>
        <color indexed="0"/>
      </bottom>
    </border>
    <border>
      <left>
        <color indexed="0"/>
      </left>
      <right style="thin">
        <color auto="1"/>
      </right>
      <top style="medium">
        <color auto="1"/>
      </top>
      <bottom>
        <color indexed="0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>
        <color indexed="0"/>
      </right>
      <top>
        <color indexed="0"/>
      </top>
      <bottom>
        <color indexed="0"/>
      </bottom>
    </border>
    <border>
      <left>
        <color indexed="0"/>
      </left>
      <right>
        <color indexed="0"/>
      </right>
      <top style="medium">
        <color auto="1"/>
      </top>
      <bottom style="double">
        <color auto="1"/>
      </bottom>
    </border>
    <border>
      <left style="thin">
        <color auto="1"/>
      </left>
      <right style="medium">
        <color auto="1"/>
      </right>
      <top>
        <color indexed="0"/>
      </top>
      <bottom style="thin">
        <color auto="1"/>
      </bottom>
    </border>
    <border>
      <left style="medium">
        <color auto="1"/>
      </left>
      <right>
        <color indexed="0"/>
      </right>
      <top>
        <color indexed="0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>
        <color indexed="0"/>
      </left>
      <right style="medium">
        <color auto="1"/>
      </right>
      <top style="thin">
        <color auto="1"/>
      </top>
      <bottom style="medium">
        <color auto="1"/>
      </bottom>
    </border>
    <border>
      <left>
        <color indexed="0"/>
      </left>
      <right style="medium">
        <color indexed="22"/>
      </right>
      <top style="medium">
        <color indexed="22"/>
      </top>
      <bottom style="medium">
        <color indexed="22"/>
      </bottom>
    </border>
    <border>
      <left style="thin">
        <color indexed="22"/>
      </left>
      <right>
        <color indexed="0"/>
      </right>
      <top style="thin">
        <color indexed="22"/>
      </top>
      <bottom style="thin">
        <color indexed="22"/>
      </bottom>
    </border>
    <border>
      <left>
        <color indexed="0"/>
      </left>
      <right>
        <color indexed="0"/>
      </right>
      <top style="thin">
        <color indexed="22"/>
      </top>
      <bottom style="thin">
        <color indexed="22"/>
      </bottom>
    </border>
    <border>
      <left>
        <color indexed="0"/>
      </left>
      <right style="thin">
        <color indexed="22"/>
      </right>
      <top style="thin">
        <color indexed="22"/>
      </top>
      <bottom style="thin">
        <color indexed="22"/>
      </bottom>
    </border>
    <border>
      <left>
        <color indexed="0"/>
      </left>
      <right style="thin">
        <color indexed="56"/>
      </right>
      <top style="thin">
        <color indexed="56"/>
      </top>
      <bottom style="thin">
        <color indexed="56"/>
      </bottom>
    </border>
    <border>
      <left style="medium">
        <color auto="1"/>
      </left>
      <right style="medium">
        <color auto="1"/>
      </right>
      <top>
        <color indexed="0"/>
      </top>
      <bottom style="double">
        <color auto="1"/>
      </bottom>
    </border>
    <border>
      <left style="medium">
        <color indexed="22"/>
      </left>
      <right>
        <color indexed="0"/>
      </right>
      <top style="medium">
        <color indexed="22"/>
      </top>
      <bottom style="medium">
        <color indexed="22"/>
      </bottom>
    </border>
    <border>
      <left>
        <color indexed="0"/>
      </left>
      <right>
        <color indexed="0"/>
      </right>
      <top style="medium">
        <color indexed="22"/>
      </top>
      <bottom style="medium">
        <color indexed="22"/>
      </bottom>
    </border>
    <border>
      <left style="thin">
        <color indexed="22"/>
      </left>
      <right>
        <color indexed="0"/>
      </right>
      <top style="medium">
        <color indexed="22"/>
      </top>
      <bottom style="thin">
        <color indexed="22"/>
      </bottom>
    </border>
    <border>
      <left>
        <color indexed="0"/>
      </left>
      <right>
        <color indexed="0"/>
      </right>
      <top style="medium">
        <color indexed="22"/>
      </top>
      <bottom style="thin">
        <color indexed="22"/>
      </bottom>
    </border>
    <border>
      <left>
        <color indexed="0"/>
      </left>
      <right style="thin">
        <color indexed="22"/>
      </right>
      <top style="medium">
        <color indexed="22"/>
      </top>
      <bottom style="thin">
        <color indexed="22"/>
      </bottom>
    </border>
    <border>
      <left>
        <color indexed="0"/>
      </left>
      <right>
        <color indexed="0"/>
      </right>
      <top style="medium">
        <color auto="1"/>
      </top>
      <bottom style="medium">
        <color auto="1"/>
      </bottom>
    </border>
    <border>
      <left>
        <color indexed="0"/>
      </left>
      <right style="medium">
        <color auto="1"/>
      </right>
      <top style="medium">
        <color auto="1"/>
      </top>
      <bottom>
        <color indexed="0"/>
      </bottom>
    </border>
    <border>
      <left>
        <color indexed="0"/>
      </left>
      <right style="medium">
        <color auto="1"/>
      </right>
      <top>
        <color indexed="0"/>
      </top>
      <bottom style="medium">
        <color auto="1"/>
      </bottom>
    </border>
    <border>
      <left style="thin">
        <color auto="1"/>
      </left>
      <right>
        <color indexed="0"/>
      </right>
      <top style="medium">
        <color auto="1"/>
      </top>
      <bottom style="thin">
        <color auto="1"/>
      </bottom>
    </border>
    <border>
      <left>
        <color indexed="0"/>
      </left>
      <right>
        <color indexed="0"/>
      </right>
      <top style="medium">
        <color auto="1"/>
      </top>
      <bottom style="thin">
        <color auto="1"/>
      </bottom>
    </border>
    <border>
      <left>
        <color indexed="0"/>
      </left>
      <right style="medium">
        <color auto="1"/>
      </right>
      <top style="medium">
        <color auto="1"/>
      </top>
      <bottom style="thin">
        <color auto="1"/>
      </bottom>
    </border>
  </borders>
  <cellStyleXfs count="1625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55" fillId="2" borderId="0" applyNumberFormat="0" applyBorder="0" applyAlignment="0" applyProtection="0"/>
    <xf numFmtId="0" fontId="55" fillId="3" borderId="0" applyNumberFormat="0" applyBorder="0" applyAlignment="0" applyProtection="0"/>
    <xf numFmtId="0" fontId="55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6" borderId="0" applyNumberFormat="0" applyBorder="0" applyAlignment="0" applyProtection="0"/>
    <xf numFmtId="0" fontId="55" fillId="7" borderId="0" applyNumberFormat="0" applyBorder="0" applyAlignment="0" applyProtection="0"/>
    <xf numFmtId="0" fontId="174" fillId="8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174" fillId="9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174" fillId="10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174" fillId="11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74" fillId="12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174" fillId="13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4" borderId="0" applyNumberFormat="0" applyBorder="0" applyAlignment="0" applyProtection="0"/>
    <xf numFmtId="0" fontId="55" fillId="17" borderId="0" applyNumberFormat="0" applyBorder="0" applyAlignment="0" applyProtection="0"/>
    <xf numFmtId="0" fontId="174" fillId="18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174" fillId="19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174" fillId="20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174" fillId="21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174" fillId="22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174" fillId="23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25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178" fillId="28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78" fillId="29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178" fillId="30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78" fillId="31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178" fillId="3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78" fillId="33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6" fillId="25" borderId="0" applyNumberFormat="0" applyBorder="0" applyAlignment="0" applyProtection="0"/>
    <xf numFmtId="0" fontId="56" fillId="26" borderId="0" applyNumberFormat="0" applyBorder="0" applyAlignment="0" applyProtection="0"/>
    <xf numFmtId="0" fontId="56" fillId="37" borderId="0" applyNumberFormat="0" applyBorder="0" applyAlignment="0" applyProtection="0"/>
    <xf numFmtId="0" fontId="63" fillId="3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8" fillId="38" borderId="1" applyNumberFormat="0" applyAlignment="0" applyProtection="0"/>
    <xf numFmtId="0" fontId="181" fillId="39" borderId="2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58" fillId="38" borderId="1" applyNumberFormat="0" applyAlignment="0" applyProtection="0"/>
    <xf numFmtId="0" fontId="180" fillId="40" borderId="3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59" fillId="41" borderId="4" applyNumberFormat="0" applyAlignment="0" applyProtection="0"/>
    <xf numFmtId="0" fontId="179" fillId="0" borderId="5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59" fillId="41" borderId="4" applyNumberFormat="0" applyAlignment="0" applyProtection="0"/>
    <xf numFmtId="0" fontId="67" fillId="0" borderId="7" applyNumberFormat="0" applyFill="0" applyAlignment="0" applyProtection="0"/>
    <xf numFmtId="0" fontId="167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78" fillId="42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178" fillId="43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178" fillId="44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178" fillId="4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178" fillId="4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78" fillId="4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77" fillId="48" borderId="2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0" fontId="62" fillId="7" borderId="1" applyNumberFormat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57" fillId="4" borderId="0" applyNumberFormat="0" applyBorder="0" applyAlignment="0" applyProtection="0"/>
    <xf numFmtId="0" fontId="67" fillId="0" borderId="7" applyNumberFormat="0" applyFill="0" applyAlignment="0" applyProtection="0"/>
    <xf numFmtId="0" fontId="68" fillId="0" borderId="8" applyNumberFormat="0" applyFill="0" applyAlignment="0" applyProtection="0"/>
    <xf numFmtId="0" fontId="61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6" fillId="49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62" fillId="7" borderId="1" applyNumberFormat="0" applyAlignment="0" applyProtection="0"/>
    <xf numFmtId="0" fontId="60" fillId="0" borderId="6" applyNumberFormat="0" applyFill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75" fillId="50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5" fillId="0" borderId="0">
      <alignment/>
      <protection/>
    </xf>
    <xf numFmtId="0" fontId="55" fillId="0" borderId="0">
      <alignment/>
      <protection/>
    </xf>
    <xf numFmtId="0" fontId="55" fillId="0" borderId="0">
      <alignment/>
      <protection/>
    </xf>
    <xf numFmtId="0" fontId="55" fillId="0" borderId="0">
      <alignment/>
      <protection/>
    </xf>
    <xf numFmtId="0" fontId="55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174" fillId="0" borderId="0">
      <alignment/>
      <protection/>
    </xf>
    <xf numFmtId="0" fontId="0" fillId="52" borderId="10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5" fillId="53" borderId="11" applyNumberFormat="0" applyFont="0" applyAlignment="0" applyProtection="0"/>
    <xf numFmtId="0" fontId="54" fillId="38" borderId="12" applyNumberFormat="0" applyAlignment="0" applyProtection="0"/>
    <xf numFmtId="0" fontId="173" fillId="39" borderId="13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54" fillId="38" borderId="12" applyNumberFormat="0" applyAlignment="0" applyProtection="0"/>
    <xf numFmtId="0" fontId="17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69" fillId="0" borderId="14" applyNumberFormat="0" applyFill="0" applyAlignment="0" applyProtection="0"/>
    <xf numFmtId="0" fontId="168" fillId="0" borderId="15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167" fillId="0" borderId="16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1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66" fillId="0" borderId="17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4" fillId="0" borderId="0" applyNumberFormat="0" applyFill="0" applyBorder="0" applyAlignment="0" applyProtection="0"/>
  </cellStyleXfs>
  <cellXfs count="1530">
    <xf numFmtId="0" fontId="0" fillId="0" borderId="0" xfId="0" applyAlignment="1">
      <alignment/>
    </xf>
    <xf numFmtId="0" fontId="3" fillId="0" borderId="0" xfId="0" applyFont="1" applyAlignment="1">
      <alignment/>
    </xf>
    <xf numFmtId="0" fontId="3" fillId="0" borderId="0" xfId="0" applyFont="1" applyAlignment="1">
      <alignment/>
    </xf>
    <xf numFmtId="0" fontId="9" fillId="0" borderId="0" xfId="0" applyFont="1" applyAlignment="1">
      <alignment horizontal="center"/>
    </xf>
    <xf numFmtId="0" fontId="11" fillId="0" borderId="0" xfId="0" applyFont="1" applyAlignment="1">
      <alignment/>
    </xf>
    <xf numFmtId="0" fontId="11" fillId="0" borderId="0" xfId="0" applyFont="1" applyBorder="1" applyAlignment="1">
      <alignment/>
    </xf>
    <xf numFmtId="0" fontId="13" fillId="4" borderId="19" xfId="0" applyFont="1" applyFill="1" applyBorder="1" applyAlignment="1">
      <alignment horizontal="left"/>
    </xf>
    <xf numFmtId="49" fontId="13" fillId="4" borderId="20" xfId="0" applyNumberFormat="1" applyFont="1" applyFill="1" applyBorder="1" applyAlignment="1">
      <alignment horizontal="center"/>
    </xf>
    <xf numFmtId="49" fontId="13" fillId="4" borderId="21" xfId="0" applyNumberFormat="1" applyFont="1" applyFill="1" applyBorder="1" applyAlignment="1">
      <alignment horizontal="center"/>
    </xf>
    <xf numFmtId="49" fontId="13" fillId="4" borderId="22" xfId="0" applyNumberFormat="1" applyFont="1" applyFill="1" applyBorder="1" applyAlignment="1">
      <alignment horizontal="center"/>
    </xf>
    <xf numFmtId="178" fontId="14" fillId="54" borderId="19" xfId="0" applyNumberFormat="1" applyFont="1" applyFill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178" fontId="14" fillId="54" borderId="20" xfId="0" applyNumberFormat="1" applyFont="1" applyFill="1" applyBorder="1" applyAlignment="1">
      <alignment horizontal="right"/>
    </xf>
    <xf numFmtId="178" fontId="14" fillId="54" borderId="21" xfId="0" applyNumberFormat="1" applyFont="1" applyFill="1" applyBorder="1" applyAlignment="1">
      <alignment horizontal="right"/>
    </xf>
    <xf numFmtId="178" fontId="14" fillId="54" borderId="22" xfId="0" applyNumberFormat="1" applyFont="1" applyFill="1" applyBorder="1" applyAlignment="1">
      <alignment/>
    </xf>
    <xf numFmtId="178" fontId="13" fillId="54" borderId="23" xfId="0" applyNumberFormat="1" applyFont="1" applyFill="1" applyBorder="1" applyAlignment="1">
      <alignment horizontal="left"/>
    </xf>
    <xf numFmtId="178" fontId="13" fillId="54" borderId="24" xfId="0" applyNumberFormat="1" applyFont="1" applyFill="1" applyBorder="1" applyAlignment="1">
      <alignment horizontal="right"/>
    </xf>
    <xf numFmtId="178" fontId="13" fillId="54" borderId="25" xfId="0" applyNumberFormat="1" applyFont="1" applyFill="1" applyBorder="1" applyAlignment="1">
      <alignment/>
    </xf>
    <xf numFmtId="178" fontId="14" fillId="54" borderId="23" xfId="0" applyNumberFormat="1" applyFont="1" applyFill="1" applyBorder="1" applyAlignment="1">
      <alignment horizontal="left"/>
    </xf>
    <xf numFmtId="178" fontId="14" fillId="54" borderId="24" xfId="0" applyNumberFormat="1" applyFont="1" applyFill="1" applyBorder="1" applyAlignment="1">
      <alignment horizontal="right"/>
    </xf>
    <xf numFmtId="178" fontId="14" fillId="54" borderId="25" xfId="0" applyNumberFormat="1" applyFont="1" applyFill="1" applyBorder="1" applyAlignment="1">
      <alignment/>
    </xf>
    <xf numFmtId="178" fontId="13" fillId="4" borderId="26" xfId="0" applyNumberFormat="1" applyFont="1" applyFill="1" applyBorder="1" applyAlignment="1">
      <alignment/>
    </xf>
    <xf numFmtId="0" fontId="14" fillId="0" borderId="0" xfId="0" applyFont="1" applyAlignment="1">
      <alignment/>
    </xf>
    <xf numFmtId="0" fontId="14" fillId="0" borderId="0" xfId="0" applyFont="1" applyBorder="1" applyAlignment="1">
      <alignment/>
    </xf>
    <xf numFmtId="178" fontId="13" fillId="54" borderId="0" xfId="0" applyNumberFormat="1" applyFont="1" applyFill="1" applyBorder="1" applyAlignment="1">
      <alignment/>
    </xf>
    <xf numFmtId="178" fontId="13" fillId="54" borderId="24" xfId="0" applyNumberFormat="1" applyFont="1" applyFill="1" applyBorder="1" applyAlignment="1">
      <alignment/>
    </xf>
    <xf numFmtId="43" fontId="13" fillId="0" borderId="24" xfId="18" applyFont="1" applyBorder="1" applyAlignment="1">
      <alignment/>
    </xf>
    <xf numFmtId="0" fontId="13" fillId="0" borderId="24" xfId="0" applyFont="1" applyBorder="1" applyAlignment="1">
      <alignment horizontal="right"/>
    </xf>
    <xf numFmtId="178" fontId="13" fillId="4" borderId="24" xfId="0" applyNumberFormat="1" applyFont="1" applyFill="1" applyBorder="1" applyAlignment="1">
      <alignment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55" borderId="27" xfId="0" applyFont="1" applyFill="1" applyBorder="1" applyAlignment="1">
      <alignment horizontal="left"/>
    </xf>
    <xf numFmtId="0" fontId="11" fillId="55" borderId="27" xfId="0" applyFont="1" applyFill="1" applyBorder="1" applyAlignment="1">
      <alignment horizontal="center"/>
    </xf>
    <xf numFmtId="178" fontId="11" fillId="55" borderId="27" xfId="0" applyNumberFormat="1" applyFont="1" applyFill="1" applyBorder="1" applyAlignment="1">
      <alignment horizontal="right"/>
    </xf>
    <xf numFmtId="0" fontId="10" fillId="54" borderId="0" xfId="0" applyFont="1" applyFill="1" applyBorder="1" applyAlignment="1">
      <alignment/>
    </xf>
    <xf numFmtId="0" fontId="10" fillId="54" borderId="0" xfId="0" applyFont="1" applyFill="1" applyBorder="1" applyAlignment="1">
      <alignment horizontal="center"/>
    </xf>
    <xf numFmtId="0" fontId="10" fillId="54" borderId="0" xfId="0" applyFont="1" applyFill="1" applyBorder="1" applyAlignment="1">
      <alignment horizontal="left"/>
    </xf>
    <xf numFmtId="178" fontId="11" fillId="54" borderId="0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0" fontId="4" fillId="0" borderId="29" xfId="0" applyNumberFormat="1" applyFont="1" applyBorder="1" applyAlignment="1">
      <alignment horizontal="center"/>
    </xf>
    <xf numFmtId="0" fontId="4" fillId="0" borderId="30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43" fontId="3" fillId="0" borderId="31" xfId="18" applyFont="1" applyBorder="1" applyAlignment="1">
      <alignment/>
    </xf>
    <xf numFmtId="178" fontId="13" fillId="54" borderId="0" xfId="0" applyNumberFormat="1" applyFont="1" applyFill="1" applyBorder="1" applyAlignment="1">
      <alignment horizontal="left"/>
    </xf>
    <xf numFmtId="178" fontId="14" fillId="54" borderId="0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11" fillId="54" borderId="0" xfId="0" applyFont="1" applyFill="1" applyBorder="1" applyAlignment="1">
      <alignment horizontal="left"/>
    </xf>
    <xf numFmtId="0" fontId="8" fillId="0" borderId="0" xfId="0" applyFont="1" applyAlignment="1">
      <alignment/>
    </xf>
    <xf numFmtId="0" fontId="9" fillId="0" borderId="0" xfId="0" applyFont="1" applyAlignment="1">
      <alignment/>
    </xf>
    <xf numFmtId="0" fontId="22" fillId="0" borderId="0" xfId="0" applyFont="1" applyAlignment="1">
      <alignment horizontal="center"/>
    </xf>
    <xf numFmtId="0" fontId="22" fillId="0" borderId="0" xfId="0" applyFont="1" applyAlignment="1">
      <alignment/>
    </xf>
    <xf numFmtId="0" fontId="0" fillId="0" borderId="0" xfId="0" applyFont="1" applyAlignment="1">
      <alignment/>
    </xf>
    <xf numFmtId="0" fontId="1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/>
    </xf>
    <xf numFmtId="0" fontId="11" fillId="0" borderId="26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justify"/>
    </xf>
    <xf numFmtId="0" fontId="11" fillId="0" borderId="33" xfId="0" applyFont="1" applyBorder="1" applyAlignment="1">
      <alignment horizontal="center" vertical="justify"/>
    </xf>
    <xf numFmtId="49" fontId="11" fillId="0" borderId="34" xfId="0" applyNumberFormat="1" applyFont="1" applyBorder="1" applyAlignment="1">
      <alignment horizontal="center"/>
    </xf>
    <xf numFmtId="43" fontId="10" fillId="0" borderId="35" xfId="18" applyFont="1" applyBorder="1" applyAlignment="1">
      <alignment/>
    </xf>
    <xf numFmtId="43" fontId="10" fillId="0" borderId="36" xfId="18" applyFont="1" applyBorder="1" applyAlignment="1">
      <alignment/>
    </xf>
    <xf numFmtId="43" fontId="10" fillId="0" borderId="24" xfId="18" applyFont="1" applyBorder="1" applyAlignment="1">
      <alignment/>
    </xf>
    <xf numFmtId="43" fontId="10" fillId="0" borderId="37" xfId="18" applyFont="1" applyBorder="1" applyAlignment="1">
      <alignment/>
    </xf>
    <xf numFmtId="43" fontId="11" fillId="4" borderId="38" xfId="18" applyFont="1" applyFill="1" applyBorder="1" applyAlignment="1">
      <alignment/>
    </xf>
    <xf numFmtId="43" fontId="11" fillId="4" borderId="27" xfId="18" applyFont="1" applyFill="1" applyBorder="1" applyAlignment="1">
      <alignment/>
    </xf>
    <xf numFmtId="0" fontId="16" fillId="0" borderId="0" xfId="0" applyFont="1" applyAlignment="1">
      <alignment/>
    </xf>
    <xf numFmtId="43" fontId="11" fillId="54" borderId="0" xfId="18" applyFont="1" applyFill="1" applyBorder="1" applyAlignment="1">
      <alignment/>
    </xf>
    <xf numFmtId="171" fontId="11" fillId="54" borderId="0" xfId="0" applyNumberFormat="1" applyFont="1" applyFill="1" applyBorder="1" applyAlignment="1">
      <alignment/>
    </xf>
    <xf numFmtId="43" fontId="11" fillId="51" borderId="39" xfId="18" applyFont="1" applyFill="1" applyBorder="1" applyAlignment="1">
      <alignment/>
    </xf>
    <xf numFmtId="43" fontId="11" fillId="51" borderId="33" xfId="18" applyFont="1" applyFill="1" applyBorder="1" applyAlignment="1">
      <alignment/>
    </xf>
    <xf numFmtId="43" fontId="11" fillId="51" borderId="40" xfId="18" applyFont="1" applyFill="1" applyBorder="1" applyAlignment="1">
      <alignment/>
    </xf>
    <xf numFmtId="43" fontId="11" fillId="5" borderId="34" xfId="18" applyFont="1" applyFill="1" applyBorder="1" applyAlignment="1">
      <alignment/>
    </xf>
    <xf numFmtId="43" fontId="11" fillId="5" borderId="35" xfId="18" applyFont="1" applyFill="1" applyBorder="1" applyAlignment="1">
      <alignment/>
    </xf>
    <xf numFmtId="43" fontId="11" fillId="5" borderId="36" xfId="18" applyFont="1" applyFill="1" applyBorder="1" applyAlignment="1">
      <alignment/>
    </xf>
    <xf numFmtId="171" fontId="11" fillId="4" borderId="41" xfId="18" applyNumberFormat="1" applyFont="1" applyFill="1" applyBorder="1" applyAlignment="1">
      <alignment/>
    </xf>
    <xf numFmtId="43" fontId="11" fillId="4" borderId="42" xfId="18" applyFont="1" applyFill="1" applyBorder="1" applyAlignment="1">
      <alignment/>
    </xf>
    <xf numFmtId="43" fontId="11" fillId="4" borderId="43" xfId="18" applyFont="1" applyFill="1" applyBorder="1" applyAlignment="1">
      <alignment/>
    </xf>
    <xf numFmtId="178" fontId="10" fillId="54" borderId="0" xfId="0" applyNumberFormat="1" applyFont="1" applyFill="1" applyBorder="1" applyAlignment="1">
      <alignment horizontal="right"/>
    </xf>
    <xf numFmtId="14" fontId="3" fillId="0" borderId="0" xfId="0" applyNumberFormat="1" applyFont="1" applyAlignment="1">
      <alignment/>
    </xf>
    <xf numFmtId="178" fontId="10" fillId="54" borderId="0" xfId="0" applyNumberFormat="1" applyFont="1" applyFill="1" applyBorder="1" applyAlignment="1">
      <alignment horizontal="left"/>
    </xf>
    <xf numFmtId="178" fontId="11" fillId="54" borderId="0" xfId="0" applyNumberFormat="1" applyFont="1" applyFill="1" applyBorder="1" applyAlignment="1">
      <alignment horizontal="left"/>
    </xf>
    <xf numFmtId="0" fontId="10" fillId="54" borderId="27" xfId="0" applyFont="1" applyFill="1" applyBorder="1" applyAlignment="1">
      <alignment horizontal="left"/>
    </xf>
    <xf numFmtId="0" fontId="10" fillId="54" borderId="27" xfId="0" applyFont="1" applyFill="1" applyBorder="1" applyAlignment="1">
      <alignment horizontal="center"/>
    </xf>
    <xf numFmtId="178" fontId="10" fillId="54" borderId="27" xfId="0" applyNumberFormat="1" applyFont="1" applyFill="1" applyBorder="1" applyAlignment="1">
      <alignment horizontal="left"/>
    </xf>
    <xf numFmtId="0" fontId="15" fillId="54" borderId="0" xfId="0" applyFont="1" applyFill="1" applyBorder="1" applyAlignment="1">
      <alignment/>
    </xf>
    <xf numFmtId="0" fontId="10" fillId="54" borderId="0" xfId="0" applyFont="1" applyFill="1" applyBorder="1" applyAlignment="1">
      <alignment/>
    </xf>
    <xf numFmtId="0" fontId="13" fillId="0" borderId="44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6" xfId="0" applyFont="1" applyBorder="1" applyAlignment="1">
      <alignment horizontal="center"/>
    </xf>
    <xf numFmtId="0" fontId="13" fillId="0" borderId="45" xfId="0" applyFont="1" applyFill="1" applyBorder="1" applyAlignment="1">
      <alignment horizontal="center"/>
    </xf>
    <xf numFmtId="0" fontId="13" fillId="0" borderId="47" xfId="0" applyFont="1" applyBorder="1" applyAlignment="1">
      <alignment/>
    </xf>
    <xf numFmtId="0" fontId="13" fillId="0" borderId="48" xfId="18" applyNumberFormat="1" applyFont="1" applyBorder="1" applyAlignment="1">
      <alignment horizontal="center"/>
    </xf>
    <xf numFmtId="43" fontId="13" fillId="0" borderId="49" xfId="18" applyFont="1" applyBorder="1" applyAlignment="1">
      <alignment/>
    </xf>
    <xf numFmtId="43" fontId="13" fillId="0" borderId="50" xfId="18" applyFont="1" applyBorder="1" applyAlignment="1">
      <alignment/>
    </xf>
    <xf numFmtId="0" fontId="13" fillId="0" borderId="51" xfId="0" applyFont="1" applyBorder="1" applyAlignment="1">
      <alignment/>
    </xf>
    <xf numFmtId="0" fontId="13" fillId="0" borderId="28" xfId="18" applyNumberFormat="1" applyFont="1" applyBorder="1" applyAlignment="1">
      <alignment horizontal="center"/>
    </xf>
    <xf numFmtId="43" fontId="13" fillId="0" borderId="52" xfId="18" applyFont="1" applyBorder="1" applyAlignment="1">
      <alignment/>
    </xf>
    <xf numFmtId="43" fontId="13" fillId="0" borderId="25" xfId="18" applyFont="1" applyBorder="1" applyAlignment="1">
      <alignment/>
    </xf>
    <xf numFmtId="0" fontId="13" fillId="0" borderId="53" xfId="0" applyFont="1" applyBorder="1" applyAlignment="1">
      <alignment/>
    </xf>
    <xf numFmtId="0" fontId="13" fillId="0" borderId="54" xfId="18" applyNumberFormat="1" applyFont="1" applyBorder="1" applyAlignment="1">
      <alignment horizontal="center"/>
    </xf>
    <xf numFmtId="43" fontId="13" fillId="0" borderId="55" xfId="18" applyFont="1" applyBorder="1" applyAlignment="1">
      <alignment/>
    </xf>
    <xf numFmtId="0" fontId="27" fillId="0" borderId="46" xfId="0" applyFont="1" applyBorder="1" applyAlignment="1">
      <alignment/>
    </xf>
    <xf numFmtId="0" fontId="12" fillId="0" borderId="26" xfId="0" applyFont="1" applyBorder="1" applyAlignment="1">
      <alignment horizontal="center"/>
    </xf>
    <xf numFmtId="43" fontId="13" fillId="0" borderId="56" xfId="18" applyFont="1" applyBorder="1" applyAlignment="1">
      <alignment/>
    </xf>
    <xf numFmtId="43" fontId="13" fillId="0" borderId="57" xfId="18" applyFont="1" applyBorder="1" applyAlignment="1">
      <alignment/>
    </xf>
    <xf numFmtId="0" fontId="13" fillId="0" borderId="0" xfId="0" applyNumberFormat="1" applyFont="1" applyBorder="1" applyAlignment="1">
      <alignment horizontal="center"/>
    </xf>
    <xf numFmtId="0" fontId="13" fillId="0" borderId="58" xfId="0" applyFont="1" applyBorder="1" applyAlignment="1">
      <alignment/>
    </xf>
    <xf numFmtId="171" fontId="13" fillId="0" borderId="59" xfId="0" applyNumberFormat="1" applyFont="1" applyBorder="1" applyAlignment="1">
      <alignment/>
    </xf>
    <xf numFmtId="171" fontId="13" fillId="0" borderId="60" xfId="0" applyNumberFormat="1" applyFont="1" applyBorder="1" applyAlignment="1">
      <alignment/>
    </xf>
    <xf numFmtId="49" fontId="11" fillId="0" borderId="34" xfId="0" applyNumberFormat="1" applyFont="1" applyBorder="1" applyAlignment="1">
      <alignment horizontal="left"/>
    </xf>
    <xf numFmtId="43" fontId="11" fillId="51" borderId="24" xfId="18" applyFont="1" applyFill="1" applyBorder="1" applyAlignment="1">
      <alignment/>
    </xf>
    <xf numFmtId="43" fontId="11" fillId="51" borderId="23" xfId="18" applyFont="1" applyFill="1" applyBorder="1" applyAlignment="1">
      <alignment/>
    </xf>
    <xf numFmtId="43" fontId="0" fillId="0" borderId="0" xfId="0" applyNumberFormat="1" applyAlignment="1">
      <alignment/>
    </xf>
    <xf numFmtId="0" fontId="11" fillId="54" borderId="61" xfId="0" applyFont="1" applyFill="1" applyBorder="1" applyAlignment="1">
      <alignment horizontal="center"/>
    </xf>
    <xf numFmtId="0" fontId="30" fillId="0" borderId="0" xfId="0" applyFont="1" applyAlignment="1">
      <alignment/>
    </xf>
    <xf numFmtId="0" fontId="32" fillId="0" borderId="0" xfId="0" applyFont="1" applyAlignment="1">
      <alignment/>
    </xf>
    <xf numFmtId="0" fontId="11" fillId="56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17" borderId="0" xfId="0" applyFont="1" applyFill="1" applyAlignment="1">
      <alignment horizontal="center"/>
    </xf>
    <xf numFmtId="0" fontId="26" fillId="57" borderId="39" xfId="0" applyFont="1" applyFill="1" applyBorder="1" applyAlignment="1">
      <alignment horizontal="center"/>
    </xf>
    <xf numFmtId="43" fontId="26" fillId="57" borderId="33" xfId="18" applyFont="1" applyFill="1" applyBorder="1" applyAlignment="1">
      <alignment horizontal="center"/>
    </xf>
    <xf numFmtId="0" fontId="26" fillId="57" borderId="62" xfId="0" applyFont="1" applyFill="1" applyBorder="1" applyAlignment="1">
      <alignment horizontal="center"/>
    </xf>
    <xf numFmtId="43" fontId="26" fillId="57" borderId="26" xfId="18" applyFont="1" applyFill="1" applyBorder="1" applyAlignment="1">
      <alignment horizontal="center"/>
    </xf>
    <xf numFmtId="43" fontId="26" fillId="57" borderId="63" xfId="18" applyFont="1" applyFill="1" applyBorder="1" applyAlignment="1">
      <alignment horizontal="center"/>
    </xf>
    <xf numFmtId="0" fontId="26" fillId="57" borderId="0" xfId="0" applyFont="1" applyFill="1" applyAlignment="1">
      <alignment horizontal="center"/>
    </xf>
    <xf numFmtId="43" fontId="26" fillId="57" borderId="0" xfId="18" applyFont="1" applyFill="1" applyAlignment="1">
      <alignment horizontal="center"/>
    </xf>
    <xf numFmtId="43" fontId="33" fillId="57" borderId="0" xfId="18" applyFont="1" applyFill="1" applyAlignment="1">
      <alignment/>
    </xf>
    <xf numFmtId="0" fontId="33" fillId="57" borderId="26" xfId="0" applyFont="1" applyFill="1" applyBorder="1" applyAlignment="1">
      <alignment horizontal="center"/>
    </xf>
    <xf numFmtId="0" fontId="33" fillId="57" borderId="63" xfId="0" applyFont="1" applyFill="1" applyBorder="1" applyAlignment="1">
      <alignment horizontal="center"/>
    </xf>
    <xf numFmtId="43" fontId="33" fillId="57" borderId="26" xfId="18" applyFont="1" applyFill="1" applyBorder="1" applyAlignment="1">
      <alignment/>
    </xf>
    <xf numFmtId="14" fontId="26" fillId="57" borderId="0" xfId="0" applyNumberFormat="1" applyFont="1" applyFill="1" applyAlignment="1">
      <alignment horizontal="center"/>
    </xf>
    <xf numFmtId="0" fontId="26" fillId="57" borderId="39" xfId="0" applyFont="1" applyFill="1" applyBorder="1" applyAlignment="1">
      <alignment/>
    </xf>
    <xf numFmtId="37" fontId="11" fillId="0" borderId="0" xfId="18" applyNumberFormat="1" applyFont="1" applyFill="1" applyBorder="1" applyAlignment="1">
      <alignment horizontal="center"/>
    </xf>
    <xf numFmtId="0" fontId="4" fillId="0" borderId="64" xfId="0" applyFont="1" applyBorder="1" applyAlignment="1">
      <alignment/>
    </xf>
    <xf numFmtId="49" fontId="4" fillId="0" borderId="52" xfId="0" applyNumberFormat="1" applyFont="1" applyBorder="1" applyAlignment="1">
      <alignment wrapText="1"/>
    </xf>
    <xf numFmtId="49" fontId="3" fillId="0" borderId="28" xfId="0" applyNumberFormat="1" applyFont="1" applyBorder="1" applyAlignment="1">
      <alignment horizontal="center"/>
    </xf>
    <xf numFmtId="43" fontId="4" fillId="0" borderId="0" xfId="18" applyFont="1" applyAlignment="1">
      <alignment/>
    </xf>
    <xf numFmtId="43" fontId="3" fillId="0" borderId="65" xfId="18" applyFont="1" applyBorder="1" applyAlignment="1">
      <alignment/>
    </xf>
    <xf numFmtId="43" fontId="3" fillId="0" borderId="50" xfId="18" applyFont="1" applyBorder="1" applyAlignment="1">
      <alignment/>
    </xf>
    <xf numFmtId="43" fontId="3" fillId="0" borderId="66" xfId="18" applyFont="1" applyBorder="1" applyAlignment="1">
      <alignment/>
    </xf>
    <xf numFmtId="0" fontId="4" fillId="0" borderId="0" xfId="0" applyFont="1" applyAlignment="1">
      <alignment/>
    </xf>
    <xf numFmtId="0" fontId="41" fillId="0" borderId="0" xfId="0" applyFont="1" applyAlignment="1">
      <alignment horizontal="center"/>
    </xf>
    <xf numFmtId="0" fontId="41" fillId="0" borderId="0" xfId="0" applyFont="1" applyAlignment="1">
      <alignment/>
    </xf>
    <xf numFmtId="3" fontId="4" fillId="0" borderId="0" xfId="18" applyNumberFormat="1" applyFont="1" applyAlignment="1">
      <alignment horizontal="center"/>
    </xf>
    <xf numFmtId="43" fontId="2" fillId="0" borderId="26" xfId="18" applyFont="1" applyBorder="1" applyAlignment="1">
      <alignment/>
    </xf>
    <xf numFmtId="43" fontId="33" fillId="57" borderId="0" xfId="18" applyFont="1" applyFill="1" applyAlignment="1">
      <alignment/>
    </xf>
    <xf numFmtId="49" fontId="4" fillId="0" borderId="0" xfId="0" applyNumberFormat="1" applyFont="1" applyFill="1" applyBorder="1" applyAlignment="1">
      <alignment horizontal="left" wrapText="1"/>
    </xf>
    <xf numFmtId="43" fontId="4" fillId="0" borderId="0" xfId="18" applyFont="1" applyBorder="1" applyAlignment="1">
      <alignment/>
    </xf>
    <xf numFmtId="0" fontId="13" fillId="0" borderId="0" xfId="0" applyFont="1" applyAlignment="1">
      <alignment horizontal="center"/>
    </xf>
    <xf numFmtId="178" fontId="0" fillId="0" borderId="0" xfId="0" applyNumberFormat="1" applyAlignment="1">
      <alignment/>
    </xf>
    <xf numFmtId="178" fontId="11" fillId="4" borderId="28" xfId="0" applyNumberFormat="1" applyFont="1" applyFill="1" applyBorder="1" applyAlignment="1">
      <alignment/>
    </xf>
    <xf numFmtId="0" fontId="0" fillId="0" borderId="0" xfId="0" applyFill="1" applyAlignment="1">
      <alignment/>
    </xf>
    <xf numFmtId="43" fontId="22" fillId="0" borderId="35" xfId="18" applyFont="1" applyBorder="1" applyAlignment="1">
      <alignment/>
    </xf>
    <xf numFmtId="43" fontId="22" fillId="0" borderId="36" xfId="18" applyFont="1" applyBorder="1" applyAlignment="1">
      <alignment/>
    </xf>
    <xf numFmtId="43" fontId="22" fillId="0" borderId="67" xfId="18" applyFont="1" applyBorder="1" applyAlignment="1">
      <alignment/>
    </xf>
    <xf numFmtId="43" fontId="22" fillId="0" borderId="24" xfId="18" applyFont="1" applyBorder="1" applyAlignment="1">
      <alignment/>
    </xf>
    <xf numFmtId="43" fontId="22" fillId="0" borderId="37" xfId="18" applyFont="1" applyBorder="1" applyAlignment="1">
      <alignment/>
    </xf>
    <xf numFmtId="43" fontId="22" fillId="0" borderId="68" xfId="18" applyFont="1" applyBorder="1" applyAlignment="1">
      <alignment/>
    </xf>
    <xf numFmtId="43" fontId="8" fillId="0" borderId="0" xfId="18" applyFont="1" applyAlignment="1">
      <alignment/>
    </xf>
    <xf numFmtId="43" fontId="13" fillId="0" borderId="0" xfId="0" applyNumberFormat="1" applyFont="1" applyFill="1" applyBorder="1" applyAlignment="1">
      <alignment/>
    </xf>
    <xf numFmtId="49" fontId="31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10" fillId="0" borderId="0" xfId="0" applyFont="1" applyBorder="1" applyAlignment="1">
      <alignment horizontal="center"/>
    </xf>
    <xf numFmtId="49" fontId="11" fillId="0" borderId="0" xfId="0" applyNumberFormat="1" applyFont="1" applyFill="1" applyBorder="1" applyAlignment="1">
      <alignment vertical="justify"/>
    </xf>
    <xf numFmtId="171" fontId="11" fillId="0" borderId="0" xfId="0" applyNumberFormat="1" applyFont="1" applyBorder="1" applyAlignment="1">
      <alignment/>
    </xf>
    <xf numFmtId="171" fontId="11" fillId="0" borderId="0" xfId="0" applyNumberFormat="1" applyFont="1" applyFill="1" applyBorder="1" applyAlignment="1">
      <alignment/>
    </xf>
    <xf numFmtId="43" fontId="0" fillId="0" borderId="0" xfId="0" applyNumberFormat="1" applyFill="1" applyAlignment="1">
      <alignment/>
    </xf>
    <xf numFmtId="0" fontId="10" fillId="0" borderId="0" xfId="0" applyFont="1" applyFill="1" applyBorder="1" applyAlignment="1">
      <alignment horizontal="center"/>
    </xf>
    <xf numFmtId="43" fontId="11" fillId="0" borderId="0" xfId="18" applyFont="1" applyFill="1" applyBorder="1" applyAlignment="1">
      <alignment/>
    </xf>
    <xf numFmtId="0" fontId="11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0" xfId="0" applyFont="1" applyFill="1" applyAlignment="1">
      <alignment/>
    </xf>
    <xf numFmtId="0" fontId="3" fillId="0" borderId="0" xfId="0" applyFont="1" applyFill="1" applyAlignment="1">
      <alignment/>
    </xf>
    <xf numFmtId="43" fontId="3" fillId="0" borderId="0" xfId="18" applyFont="1" applyFill="1" applyAlignment="1">
      <alignment/>
    </xf>
    <xf numFmtId="0" fontId="4" fillId="0" borderId="0" xfId="0" applyFont="1" applyFill="1" applyAlignment="1">
      <alignment/>
    </xf>
    <xf numFmtId="43" fontId="0" fillId="0" borderId="0" xfId="0" applyNumberFormat="1" applyFill="1" applyBorder="1" applyAlignment="1">
      <alignment/>
    </xf>
    <xf numFmtId="43" fontId="8" fillId="0" borderId="0" xfId="18" applyFont="1" applyFill="1" applyBorder="1" applyAlignment="1">
      <alignment/>
    </xf>
    <xf numFmtId="178" fontId="11" fillId="0" borderId="0" xfId="0" applyNumberFormat="1" applyFont="1" applyFill="1" applyBorder="1" applyAlignment="1">
      <alignment/>
    </xf>
    <xf numFmtId="43" fontId="8" fillId="0" borderId="24" xfId="18" applyFont="1" applyFill="1" applyBorder="1" applyAlignment="1">
      <alignment/>
    </xf>
    <xf numFmtId="43" fontId="22" fillId="0" borderId="24" xfId="18" applyFont="1" applyFill="1" applyBorder="1" applyAlignment="1">
      <alignment/>
    </xf>
    <xf numFmtId="43" fontId="8" fillId="0" borderId="69" xfId="18" applyFont="1" applyFill="1" applyBorder="1" applyAlignment="1">
      <alignment/>
    </xf>
    <xf numFmtId="43" fontId="22" fillId="0" borderId="64" xfId="18" applyFont="1" applyFill="1" applyBorder="1" applyAlignment="1">
      <alignment/>
    </xf>
    <xf numFmtId="43" fontId="22" fillId="0" borderId="35" xfId="18" applyFont="1" applyFill="1" applyBorder="1" applyAlignment="1">
      <alignment/>
    </xf>
    <xf numFmtId="43" fontId="22" fillId="0" borderId="52" xfId="18" applyFont="1" applyFill="1" applyBorder="1" applyAlignment="1">
      <alignment/>
    </xf>
    <xf numFmtId="43" fontId="22" fillId="0" borderId="70" xfId="18" applyFont="1" applyFill="1" applyBorder="1" applyAlignment="1">
      <alignment/>
    </xf>
    <xf numFmtId="0" fontId="22" fillId="0" borderId="0" xfId="0" applyFont="1" applyFill="1" applyAlignment="1">
      <alignment/>
    </xf>
    <xf numFmtId="0" fontId="22" fillId="0" borderId="0" xfId="0" applyFont="1" applyFill="1" applyBorder="1" applyAlignment="1">
      <alignment/>
    </xf>
    <xf numFmtId="43" fontId="22" fillId="0" borderId="0" xfId="18" applyFont="1" applyFill="1" applyAlignment="1">
      <alignment/>
    </xf>
    <xf numFmtId="171" fontId="22" fillId="0" borderId="0" xfId="0" applyNumberFormat="1" applyFont="1" applyFill="1" applyAlignment="1">
      <alignment/>
    </xf>
    <xf numFmtId="0" fontId="8" fillId="0" borderId="0" xfId="0" applyFont="1" applyFill="1" applyAlignment="1">
      <alignment/>
    </xf>
    <xf numFmtId="43" fontId="8" fillId="0" borderId="65" xfId="18" applyFont="1" applyFill="1" applyBorder="1" applyAlignment="1">
      <alignment/>
    </xf>
    <xf numFmtId="0" fontId="12" fillId="0" borderId="0" xfId="0" applyFont="1" applyFill="1" applyAlignment="1">
      <alignment/>
    </xf>
    <xf numFmtId="171" fontId="0" fillId="0" borderId="0" xfId="0" applyNumberFormat="1" applyAlignment="1">
      <alignment/>
    </xf>
    <xf numFmtId="0" fontId="42" fillId="0" borderId="0" xfId="0" applyFont="1" applyAlignment="1">
      <alignment/>
    </xf>
    <xf numFmtId="43" fontId="42" fillId="0" borderId="0" xfId="18" applyFont="1" applyBorder="1" applyAlignment="1">
      <alignment/>
    </xf>
    <xf numFmtId="43" fontId="22" fillId="0" borderId="31" xfId="18" applyFont="1" applyFill="1" applyBorder="1" applyAlignment="1">
      <alignment/>
    </xf>
    <xf numFmtId="43" fontId="26" fillId="57" borderId="40" xfId="18" applyFont="1" applyFill="1" applyBorder="1" applyAlignment="1">
      <alignment horizontal="center"/>
    </xf>
    <xf numFmtId="0" fontId="13" fillId="0" borderId="71" xfId="0" applyFont="1" applyBorder="1" applyAlignment="1">
      <alignment/>
    </xf>
    <xf numFmtId="43" fontId="13" fillId="0" borderId="72" xfId="18" applyFont="1" applyBorder="1" applyAlignment="1">
      <alignment/>
    </xf>
    <xf numFmtId="43" fontId="8" fillId="0" borderId="37" xfId="18" applyFont="1" applyFill="1" applyBorder="1" applyAlignment="1">
      <alignment/>
    </xf>
    <xf numFmtId="43" fontId="8" fillId="0" borderId="31" xfId="18" applyFont="1" applyFill="1" applyBorder="1" applyAlignment="1">
      <alignment/>
    </xf>
    <xf numFmtId="0" fontId="4" fillId="58" borderId="32" xfId="0" applyFont="1" applyFill="1" applyBorder="1" applyAlignment="1">
      <alignment horizontal="center"/>
    </xf>
    <xf numFmtId="0" fontId="4" fillId="58" borderId="33" xfId="0" applyFont="1" applyFill="1" applyBorder="1" applyAlignment="1">
      <alignment horizontal="center" vertical="justify"/>
    </xf>
    <xf numFmtId="43" fontId="8" fillId="58" borderId="33" xfId="18" applyFont="1" applyFill="1" applyBorder="1" applyAlignment="1">
      <alignment/>
    </xf>
    <xf numFmtId="43" fontId="8" fillId="58" borderId="62" xfId="18" applyFont="1" applyFill="1" applyBorder="1" applyAlignment="1">
      <alignment/>
    </xf>
    <xf numFmtId="43" fontId="3" fillId="0" borderId="49" xfId="18" applyFont="1" applyBorder="1" applyAlignment="1">
      <alignment/>
    </xf>
    <xf numFmtId="43" fontId="3" fillId="0" borderId="72" xfId="18" applyFont="1" applyBorder="1" applyAlignment="1">
      <alignment/>
    </xf>
    <xf numFmtId="43" fontId="8" fillId="58" borderId="32" xfId="18" applyFont="1" applyFill="1" applyBorder="1" applyAlignment="1">
      <alignment/>
    </xf>
    <xf numFmtId="0" fontId="4" fillId="58" borderId="40" xfId="0" applyFont="1" applyFill="1" applyBorder="1" applyAlignment="1">
      <alignment horizontal="center" vertical="justify"/>
    </xf>
    <xf numFmtId="43" fontId="22" fillId="0" borderId="72" xfId="18" applyFont="1" applyFill="1" applyBorder="1" applyAlignment="1">
      <alignment/>
    </xf>
    <xf numFmtId="43" fontId="22" fillId="0" borderId="55" xfId="18" applyFont="1" applyFill="1" applyBorder="1" applyAlignment="1">
      <alignment/>
    </xf>
    <xf numFmtId="0" fontId="4" fillId="57" borderId="59" xfId="0" applyFont="1" applyFill="1" applyBorder="1" applyAlignment="1">
      <alignment horizontal="center" vertical="justify"/>
    </xf>
    <xf numFmtId="43" fontId="22" fillId="57" borderId="59" xfId="18" applyFont="1" applyFill="1" applyBorder="1" applyAlignment="1">
      <alignment/>
    </xf>
    <xf numFmtId="43" fontId="22" fillId="57" borderId="60" xfId="18" applyFont="1" applyFill="1" applyBorder="1" applyAlignment="1">
      <alignment/>
    </xf>
    <xf numFmtId="43" fontId="3" fillId="0" borderId="47" xfId="18" applyFont="1" applyBorder="1" applyAlignment="1">
      <alignment/>
    </xf>
    <xf numFmtId="43" fontId="3" fillId="0" borderId="71" xfId="18" applyFont="1" applyBorder="1" applyAlignment="1">
      <alignment/>
    </xf>
    <xf numFmtId="43" fontId="8" fillId="58" borderId="73" xfId="18" applyFont="1" applyFill="1" applyBorder="1" applyAlignment="1">
      <alignment/>
    </xf>
    <xf numFmtId="43" fontId="3" fillId="57" borderId="45" xfId="18" applyFont="1" applyFill="1" applyBorder="1" applyAlignment="1">
      <alignment/>
    </xf>
    <xf numFmtId="43" fontId="3" fillId="57" borderId="59" xfId="18" applyFont="1" applyFill="1" applyBorder="1" applyAlignment="1">
      <alignment/>
    </xf>
    <xf numFmtId="43" fontId="8" fillId="57" borderId="60" xfId="18" applyFont="1" applyFill="1" applyBorder="1" applyAlignment="1">
      <alignment/>
    </xf>
    <xf numFmtId="0" fontId="4" fillId="57" borderId="44" xfId="0" applyFont="1" applyFill="1" applyBorder="1" applyAlignment="1">
      <alignment horizontal="center"/>
    </xf>
    <xf numFmtId="0" fontId="4" fillId="58" borderId="56" xfId="0" applyFont="1" applyFill="1" applyBorder="1" applyAlignment="1">
      <alignment horizontal="center" vertical="justify"/>
    </xf>
    <xf numFmtId="0" fontId="4" fillId="58" borderId="74" xfId="0" applyFont="1" applyFill="1" applyBorder="1" applyAlignment="1">
      <alignment horizontal="center" vertical="justify"/>
    </xf>
    <xf numFmtId="0" fontId="4" fillId="58" borderId="75" xfId="0" applyFont="1" applyFill="1" applyBorder="1" applyAlignment="1">
      <alignment horizontal="center" vertical="justify"/>
    </xf>
    <xf numFmtId="0" fontId="4" fillId="0" borderId="37" xfId="0" applyFont="1" applyBorder="1" applyAlignment="1">
      <alignment horizontal="center"/>
    </xf>
    <xf numFmtId="0" fontId="4" fillId="0" borderId="76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17" fillId="0" borderId="76" xfId="0" applyFont="1" applyBorder="1" applyAlignment="1">
      <alignment horizontal="center"/>
    </xf>
    <xf numFmtId="43" fontId="8" fillId="0" borderId="77" xfId="18" applyFont="1" applyFill="1" applyBorder="1" applyAlignment="1">
      <alignment/>
    </xf>
    <xf numFmtId="43" fontId="8" fillId="0" borderId="78" xfId="18" applyFont="1" applyFill="1" applyBorder="1" applyAlignment="1">
      <alignment/>
    </xf>
    <xf numFmtId="43" fontId="8" fillId="57" borderId="59" xfId="18" applyFont="1" applyFill="1" applyBorder="1" applyAlignment="1">
      <alignment/>
    </xf>
    <xf numFmtId="0" fontId="4" fillId="58" borderId="35" xfId="0" applyFont="1" applyFill="1" applyBorder="1" applyAlignment="1">
      <alignment horizontal="center" vertical="justify"/>
    </xf>
    <xf numFmtId="0" fontId="22" fillId="0" borderId="24" xfId="0" applyFont="1" applyFill="1" applyBorder="1" applyAlignment="1">
      <alignment/>
    </xf>
    <xf numFmtId="43" fontId="8" fillId="0" borderId="35" xfId="18" applyFont="1" applyFill="1" applyBorder="1" applyAlignment="1">
      <alignment/>
    </xf>
    <xf numFmtId="43" fontId="8" fillId="0" borderId="79" xfId="18" applyFont="1" applyFill="1" applyBorder="1" applyAlignment="1">
      <alignment/>
    </xf>
    <xf numFmtId="43" fontId="3" fillId="0" borderId="0" xfId="0" applyNumberFormat="1" applyFont="1" applyAlignment="1">
      <alignment/>
    </xf>
    <xf numFmtId="0" fontId="22" fillId="57" borderId="76" xfId="0" applyFont="1" applyFill="1" applyBorder="1" applyAlignment="1">
      <alignment/>
    </xf>
    <xf numFmtId="0" fontId="22" fillId="57" borderId="37" xfId="0" applyFont="1" applyFill="1" applyBorder="1" applyAlignment="1">
      <alignment/>
    </xf>
    <xf numFmtId="171" fontId="8" fillId="57" borderId="79" xfId="0" applyNumberFormat="1" applyFont="1" applyFill="1" applyBorder="1" applyAlignment="1">
      <alignment/>
    </xf>
    <xf numFmtId="43" fontId="22" fillId="57" borderId="24" xfId="18" applyFont="1" applyFill="1" applyBorder="1" applyAlignment="1">
      <alignment/>
    </xf>
    <xf numFmtId="43" fontId="8" fillId="57" borderId="24" xfId="18" applyFont="1" applyFill="1" applyBorder="1" applyAlignment="1">
      <alignment/>
    </xf>
    <xf numFmtId="43" fontId="8" fillId="57" borderId="79" xfId="18" applyFont="1" applyFill="1" applyBorder="1" applyAlignment="1">
      <alignment/>
    </xf>
    <xf numFmtId="0" fontId="19" fillId="57" borderId="76" xfId="0" applyFont="1" applyFill="1" applyBorder="1" applyAlignment="1">
      <alignment horizontal="left"/>
    </xf>
    <xf numFmtId="0" fontId="19" fillId="57" borderId="52" xfId="0" applyFont="1" applyFill="1" applyBorder="1" applyAlignment="1">
      <alignment horizontal="left"/>
    </xf>
    <xf numFmtId="43" fontId="8" fillId="57" borderId="78" xfId="18" applyFont="1" applyFill="1" applyBorder="1" applyAlignment="1">
      <alignment/>
    </xf>
    <xf numFmtId="0" fontId="0" fillId="0" borderId="0" xfId="0" applyFill="1" applyBorder="1" applyAlignment="1">
      <alignment/>
    </xf>
    <xf numFmtId="43" fontId="17" fillId="0" borderId="24" xfId="18" applyFont="1" applyFill="1" applyBorder="1" applyAlignment="1">
      <alignment/>
    </xf>
    <xf numFmtId="43" fontId="17" fillId="0" borderId="42" xfId="0" applyNumberFormat="1" applyFont="1" applyFill="1" applyBorder="1" applyAlignment="1">
      <alignment/>
    </xf>
    <xf numFmtId="171" fontId="43" fillId="0" borderId="0" xfId="0" applyNumberFormat="1" applyFont="1" applyBorder="1" applyAlignment="1">
      <alignment/>
    </xf>
    <xf numFmtId="0" fontId="42" fillId="0" borderId="0" xfId="0" applyFont="1" applyAlignment="1">
      <alignment/>
    </xf>
    <xf numFmtId="43" fontId="0" fillId="0" borderId="0" xfId="18" applyFont="1" applyAlignment="1">
      <alignment/>
    </xf>
    <xf numFmtId="0" fontId="42" fillId="0" borderId="0" xfId="0" applyFont="1" applyBorder="1" applyAlignment="1">
      <alignment/>
    </xf>
    <xf numFmtId="43" fontId="42" fillId="0" borderId="0" xfId="0" applyNumberFormat="1" applyFont="1" applyBorder="1" applyAlignment="1">
      <alignment/>
    </xf>
    <xf numFmtId="43" fontId="0" fillId="0" borderId="0" xfId="18" applyFont="1" applyBorder="1" applyAlignment="1">
      <alignment/>
    </xf>
    <xf numFmtId="43" fontId="10" fillId="0" borderId="0" xfId="18" applyFont="1" applyBorder="1" applyAlignment="1">
      <alignment/>
    </xf>
    <xf numFmtId="171" fontId="42" fillId="0" borderId="0" xfId="0" applyNumberFormat="1" applyFont="1" applyBorder="1" applyAlignment="1">
      <alignment/>
    </xf>
    <xf numFmtId="43" fontId="0" fillId="0" borderId="0" xfId="18" applyFont="1" applyFill="1" applyAlignment="1">
      <alignment/>
    </xf>
    <xf numFmtId="43" fontId="42" fillId="0" borderId="0" xfId="18" applyFont="1" applyAlignment="1">
      <alignment/>
    </xf>
    <xf numFmtId="43" fontId="0" fillId="0" borderId="0" xfId="0" applyNumberFormat="1" applyBorder="1" applyAlignment="1">
      <alignment/>
    </xf>
    <xf numFmtId="0" fontId="25" fillId="0" borderId="0" xfId="0" applyFont="1" applyFill="1" applyBorder="1" applyAlignment="1">
      <alignment horizontal="center"/>
    </xf>
    <xf numFmtId="43" fontId="3" fillId="0" borderId="0" xfId="18" applyFont="1" applyFill="1" applyBorder="1" applyAlignment="1">
      <alignment/>
    </xf>
    <xf numFmtId="43" fontId="8" fillId="0" borderId="24" xfId="0" applyNumberFormat="1" applyFont="1" applyBorder="1" applyAlignment="1">
      <alignment horizontal="left"/>
    </xf>
    <xf numFmtId="43" fontId="8" fillId="57" borderId="31" xfId="18" applyFont="1" applyFill="1" applyBorder="1" applyAlignment="1">
      <alignment/>
    </xf>
    <xf numFmtId="43" fontId="8" fillId="57" borderId="0" xfId="18" applyFont="1" applyFill="1" applyBorder="1" applyAlignment="1">
      <alignment/>
    </xf>
    <xf numFmtId="49" fontId="4" fillId="57" borderId="24" xfId="0" applyNumberFormat="1" applyFont="1" applyFill="1" applyBorder="1" applyAlignment="1">
      <alignment horizontal="left" wrapText="1"/>
    </xf>
    <xf numFmtId="43" fontId="17" fillId="57" borderId="24" xfId="18" applyFont="1" applyFill="1" applyBorder="1" applyAlignment="1">
      <alignment/>
    </xf>
    <xf numFmtId="43" fontId="17" fillId="57" borderId="42" xfId="0" applyNumberFormat="1" applyFont="1" applyFill="1" applyBorder="1" applyAlignment="1">
      <alignment/>
    </xf>
    <xf numFmtId="43" fontId="3" fillId="0" borderId="0" xfId="0" applyNumberFormat="1" applyFont="1" applyAlignment="1">
      <alignment/>
    </xf>
    <xf numFmtId="43" fontId="3" fillId="0" borderId="0" xfId="18" applyFont="1" applyAlignment="1">
      <alignment/>
    </xf>
    <xf numFmtId="43" fontId="3" fillId="0" borderId="0" xfId="18" applyFont="1" applyAlignment="1">
      <alignment/>
    </xf>
    <xf numFmtId="43" fontId="17" fillId="57" borderId="0" xfId="18" applyFont="1" applyFill="1" applyBorder="1" applyAlignment="1">
      <alignment/>
    </xf>
    <xf numFmtId="178" fontId="26" fillId="54" borderId="59" xfId="0" applyNumberFormat="1" applyFont="1" applyFill="1" applyBorder="1" applyAlignment="1">
      <alignment/>
    </xf>
    <xf numFmtId="0" fontId="77" fillId="0" borderId="0" xfId="0" applyFont="1" applyBorder="1" applyAlignment="1">
      <alignment/>
    </xf>
    <xf numFmtId="43" fontId="17" fillId="57" borderId="35" xfId="18" applyFont="1" applyFill="1" applyBorder="1" applyAlignment="1">
      <alignment/>
    </xf>
    <xf numFmtId="43" fontId="17" fillId="53" borderId="35" xfId="18" applyFont="1" applyFill="1" applyBorder="1" applyAlignment="1">
      <alignment/>
    </xf>
    <xf numFmtId="0" fontId="4" fillId="0" borderId="0" xfId="0" applyFont="1" applyBorder="1" applyAlignment="1">
      <alignment horizontal="left"/>
    </xf>
    <xf numFmtId="171" fontId="8" fillId="0" borderId="42" xfId="0" applyNumberFormat="1" applyFont="1" applyFill="1" applyBorder="1" applyAlignment="1">
      <alignment horizontal="right"/>
    </xf>
    <xf numFmtId="43" fontId="17" fillId="57" borderId="31" xfId="18" applyFont="1" applyFill="1" applyBorder="1" applyAlignment="1">
      <alignment/>
    </xf>
    <xf numFmtId="43" fontId="17" fillId="0" borderId="31" xfId="18" applyFont="1" applyFill="1" applyBorder="1" applyAlignment="1">
      <alignment/>
    </xf>
    <xf numFmtId="0" fontId="22" fillId="0" borderId="24" xfId="0" applyFont="1" applyBorder="1" applyAlignment="1">
      <alignment/>
    </xf>
    <xf numFmtId="0" fontId="8" fillId="0" borderId="0" xfId="0" applyNumberFormat="1" applyFont="1" applyFill="1" applyBorder="1" applyAlignment="1">
      <alignment horizontal="center"/>
    </xf>
    <xf numFmtId="43" fontId="10" fillId="0" borderId="76" xfId="18" applyFont="1" applyBorder="1" applyAlignment="1">
      <alignment/>
    </xf>
    <xf numFmtId="43" fontId="8" fillId="57" borderId="80" xfId="18" applyFont="1" applyFill="1" applyBorder="1" applyAlignment="1">
      <alignment/>
    </xf>
    <xf numFmtId="43" fontId="22" fillId="0" borderId="0" xfId="0" applyNumberFormat="1" applyFont="1" applyFill="1" applyAlignment="1">
      <alignment/>
    </xf>
    <xf numFmtId="0" fontId="11" fillId="54" borderId="0" xfId="0" applyFont="1" applyFill="1" applyBorder="1" applyAlignment="1">
      <alignment horizontal="right"/>
    </xf>
    <xf numFmtId="0" fontId="78" fillId="0" borderId="0" xfId="0" applyFont="1" applyBorder="1" applyAlignment="1">
      <alignment horizontal="left"/>
    </xf>
    <xf numFmtId="0" fontId="78" fillId="0" borderId="58" xfId="0" applyFont="1" applyBorder="1" applyAlignment="1">
      <alignment horizontal="left"/>
    </xf>
    <xf numFmtId="178" fontId="11" fillId="54" borderId="58" xfId="0" applyNumberFormat="1" applyFont="1" applyFill="1" applyBorder="1" applyAlignment="1">
      <alignment horizontal="left"/>
    </xf>
    <xf numFmtId="43" fontId="3" fillId="0" borderId="0" xfId="18" applyFont="1" applyFill="1" applyAlignment="1">
      <alignment/>
    </xf>
    <xf numFmtId="0" fontId="4" fillId="0" borderId="0" xfId="0" applyFont="1" applyFill="1" applyAlignment="1">
      <alignment horizontal="left"/>
    </xf>
    <xf numFmtId="178" fontId="78" fillId="0" borderId="0" xfId="0" applyNumberFormat="1" applyFont="1" applyBorder="1" applyAlignment="1">
      <alignment horizontal="left"/>
    </xf>
    <xf numFmtId="43" fontId="8" fillId="0" borderId="52" xfId="18" applyFont="1" applyFill="1" applyBorder="1" applyAlignment="1">
      <alignment/>
    </xf>
    <xf numFmtId="0" fontId="52" fillId="0" borderId="0" xfId="0" applyFont="1" applyAlignment="1">
      <alignment/>
    </xf>
    <xf numFmtId="43" fontId="79" fillId="0" borderId="0" xfId="18" applyFont="1" applyAlignment="1">
      <alignment/>
    </xf>
    <xf numFmtId="0" fontId="4" fillId="14" borderId="24" xfId="0" applyFont="1" applyFill="1" applyBorder="1" applyAlignment="1">
      <alignment horizontal="center" vertical="center" wrapText="1"/>
    </xf>
    <xf numFmtId="43" fontId="10" fillId="0" borderId="24" xfId="18" applyFont="1" applyBorder="1" applyAlignment="1">
      <alignment horizontal="right"/>
    </xf>
    <xf numFmtId="0" fontId="11" fillId="54" borderId="0" xfId="0" applyFont="1" applyFill="1" applyBorder="1" applyAlignment="1">
      <alignment horizontal="center"/>
    </xf>
    <xf numFmtId="178" fontId="11" fillId="4" borderId="81" xfId="0" applyNumberFormat="1" applyFont="1" applyFill="1" applyBorder="1" applyAlignment="1">
      <alignment/>
    </xf>
    <xf numFmtId="43" fontId="17" fillId="0" borderId="0" xfId="0" applyNumberFormat="1" applyFont="1" applyFill="1" applyBorder="1" applyAlignment="1">
      <alignment/>
    </xf>
    <xf numFmtId="43" fontId="17" fillId="54" borderId="0" xfId="0" applyNumberFormat="1" applyFont="1" applyFill="1" applyBorder="1" applyAlignment="1">
      <alignment/>
    </xf>
    <xf numFmtId="43" fontId="70" fillId="56" borderId="0" xfId="0" applyNumberFormat="1" applyFont="1" applyFill="1" applyAlignment="1">
      <alignment/>
    </xf>
    <xf numFmtId="0" fontId="12" fillId="0" borderId="0" xfId="0" applyFont="1" applyAlignment="1">
      <alignment/>
    </xf>
    <xf numFmtId="178" fontId="3" fillId="0" borderId="0" xfId="0" applyNumberFormat="1" applyFont="1" applyAlignment="1">
      <alignment/>
    </xf>
    <xf numFmtId="43" fontId="42" fillId="0" borderId="0" xfId="0" applyNumberFormat="1" applyFont="1" applyAlignment="1">
      <alignment/>
    </xf>
    <xf numFmtId="43" fontId="17" fillId="0" borderId="24" xfId="0" applyNumberFormat="1" applyFont="1" applyFill="1" applyBorder="1" applyAlignment="1">
      <alignment/>
    </xf>
    <xf numFmtId="43" fontId="17" fillId="57" borderId="24" xfId="1244" applyFont="1" applyFill="1" applyBorder="1" applyAlignment="1">
      <alignment/>
    </xf>
    <xf numFmtId="43" fontId="17" fillId="0" borderId="24" xfId="1244" applyFont="1" applyFill="1" applyBorder="1" applyAlignment="1">
      <alignment/>
    </xf>
    <xf numFmtId="43" fontId="17" fillId="57" borderId="35" xfId="1244" applyFont="1" applyFill="1" applyBorder="1" applyAlignment="1">
      <alignment/>
    </xf>
    <xf numFmtId="43" fontId="17" fillId="57" borderId="0" xfId="1244" applyFont="1" applyFill="1" applyBorder="1" applyAlignment="1">
      <alignment/>
    </xf>
    <xf numFmtId="43" fontId="10" fillId="0" borderId="37" xfId="1244" applyFont="1" applyBorder="1" applyAlignment="1">
      <alignment/>
    </xf>
    <xf numFmtId="0" fontId="0" fillId="0" borderId="0" xfId="0" applyFont="1" applyFill="1" applyAlignment="1">
      <alignment/>
    </xf>
    <xf numFmtId="43" fontId="8" fillId="57" borderId="65" xfId="18" applyFont="1" applyFill="1" applyBorder="1" applyAlignment="1">
      <alignment/>
    </xf>
    <xf numFmtId="0" fontId="73" fillId="0" borderId="0" xfId="0" applyFont="1" applyAlignment="1">
      <alignment/>
    </xf>
    <xf numFmtId="43" fontId="22" fillId="0" borderId="24" xfId="1175" applyFont="1" applyFill="1" applyBorder="1" applyAlignment="1">
      <alignment horizontal="center"/>
    </xf>
    <xf numFmtId="0" fontId="8" fillId="0" borderId="24" xfId="0" applyNumberFormat="1" applyFont="1" applyFill="1" applyBorder="1" applyAlignment="1">
      <alignment horizontal="center"/>
    </xf>
    <xf numFmtId="0" fontId="22" fillId="57" borderId="24" xfId="0" applyFont="1" applyFill="1" applyBorder="1" applyAlignment="1">
      <alignment/>
    </xf>
    <xf numFmtId="171" fontId="22" fillId="0" borderId="24" xfId="1202" applyNumberFormat="1" applyFont="1" applyBorder="1" applyAlignment="1">
      <alignment/>
    </xf>
    <xf numFmtId="49" fontId="8" fillId="0" borderId="24" xfId="0" applyNumberFormat="1" applyFont="1" applyFill="1" applyBorder="1" applyAlignment="1">
      <alignment horizontal="center"/>
    </xf>
    <xf numFmtId="0" fontId="0" fillId="0" borderId="0" xfId="0" applyFill="1" applyAlignment="1">
      <alignment/>
    </xf>
    <xf numFmtId="0" fontId="8" fillId="0" borderId="0" xfId="0" applyFont="1" applyFill="1" applyBorder="1" applyAlignment="1">
      <alignment horizontal="center"/>
    </xf>
    <xf numFmtId="43" fontId="8" fillId="57" borderId="67" xfId="18" applyFont="1" applyFill="1" applyBorder="1" applyAlignment="1">
      <alignment/>
    </xf>
    <xf numFmtId="43" fontId="8" fillId="57" borderId="37" xfId="18" applyFont="1" applyFill="1" applyBorder="1" applyAlignment="1">
      <alignment/>
    </xf>
    <xf numFmtId="43" fontId="17" fillId="57" borderId="37" xfId="18" applyFont="1" applyFill="1" applyBorder="1" applyAlignment="1">
      <alignment/>
    </xf>
    <xf numFmtId="43" fontId="17" fillId="57" borderId="37" xfId="1244" applyFont="1" applyFill="1" applyBorder="1" applyAlignment="1">
      <alignment/>
    </xf>
    <xf numFmtId="43" fontId="17" fillId="57" borderId="67" xfId="18" applyFont="1" applyFill="1" applyBorder="1" applyAlignment="1">
      <alignment/>
    </xf>
    <xf numFmtId="43" fontId="17" fillId="57" borderId="36" xfId="18" applyFont="1" applyFill="1" applyBorder="1" applyAlignment="1">
      <alignment/>
    </xf>
    <xf numFmtId="43" fontId="8" fillId="0" borderId="23" xfId="18" applyFont="1" applyFill="1" applyBorder="1" applyAlignment="1">
      <alignment/>
    </xf>
    <xf numFmtId="43" fontId="8" fillId="0" borderId="82" xfId="18" applyFont="1" applyFill="1" applyBorder="1" applyAlignment="1">
      <alignment/>
    </xf>
    <xf numFmtId="43" fontId="17" fillId="0" borderId="23" xfId="18" applyFont="1" applyFill="1" applyBorder="1" applyAlignment="1">
      <alignment/>
    </xf>
    <xf numFmtId="43" fontId="17" fillId="0" borderId="82" xfId="18" applyFont="1" applyFill="1" applyBorder="1" applyAlignment="1">
      <alignment/>
    </xf>
    <xf numFmtId="43" fontId="17" fillId="53" borderId="34" xfId="18" applyFont="1" applyFill="1" applyBorder="1" applyAlignment="1">
      <alignment/>
    </xf>
    <xf numFmtId="43" fontId="17" fillId="0" borderId="23" xfId="1244" applyFont="1" applyFill="1" applyBorder="1" applyAlignment="1">
      <alignment/>
    </xf>
    <xf numFmtId="43" fontId="8" fillId="0" borderId="37" xfId="0" applyNumberFormat="1" applyFont="1" applyFill="1" applyBorder="1" applyAlignment="1">
      <alignment/>
    </xf>
    <xf numFmtId="43" fontId="8" fillId="54" borderId="37" xfId="18" applyFont="1" applyFill="1" applyBorder="1" applyAlignment="1">
      <alignment/>
    </xf>
    <xf numFmtId="43" fontId="8" fillId="54" borderId="37" xfId="1244" applyFont="1" applyFill="1" applyBorder="1" applyAlignment="1">
      <alignment/>
    </xf>
    <xf numFmtId="43" fontId="22" fillId="57" borderId="0" xfId="18" applyFont="1" applyFill="1" applyBorder="1" applyAlignment="1">
      <alignment/>
    </xf>
    <xf numFmtId="0" fontId="22" fillId="57" borderId="0" xfId="0" applyFont="1" applyFill="1" applyBorder="1" applyAlignment="1">
      <alignment/>
    </xf>
    <xf numFmtId="0" fontId="75" fillId="0" borderId="24" xfId="0" applyNumberFormat="1" applyFont="1" applyFill="1" applyBorder="1" applyAlignment="1">
      <alignment horizontal="center"/>
    </xf>
    <xf numFmtId="0" fontId="75" fillId="0" borderId="35" xfId="0" applyNumberFormat="1" applyFont="1" applyFill="1" applyBorder="1" applyAlignment="1">
      <alignment horizontal="center"/>
    </xf>
    <xf numFmtId="49" fontId="75" fillId="0" borderId="36" xfId="0" applyNumberFormat="1" applyFont="1" applyFill="1" applyBorder="1" applyAlignment="1">
      <alignment wrapText="1"/>
    </xf>
    <xf numFmtId="49" fontId="75" fillId="0" borderId="37" xfId="0" applyNumberFormat="1" applyFont="1" applyFill="1" applyBorder="1" applyAlignment="1">
      <alignment wrapText="1"/>
    </xf>
    <xf numFmtId="49" fontId="75" fillId="0" borderId="37" xfId="0" applyNumberFormat="1" applyFont="1" applyBorder="1" applyAlignment="1">
      <alignment wrapText="1"/>
    </xf>
    <xf numFmtId="43" fontId="75" fillId="0" borderId="28" xfId="1175" applyFont="1" applyBorder="1" applyAlignment="1">
      <alignment/>
    </xf>
    <xf numFmtId="43" fontId="76" fillId="0" borderId="24" xfId="1175" applyFont="1" applyFill="1" applyBorder="1" applyAlignment="1">
      <alignment/>
    </xf>
    <xf numFmtId="43" fontId="76" fillId="0" borderId="64" xfId="1175" applyFont="1" applyFill="1" applyBorder="1" applyAlignment="1">
      <alignment/>
    </xf>
    <xf numFmtId="43" fontId="76" fillId="0" borderId="35" xfId="1175" applyFont="1" applyFill="1" applyBorder="1" applyAlignment="1">
      <alignment/>
    </xf>
    <xf numFmtId="43" fontId="76" fillId="0" borderId="52" xfId="1175" applyFont="1" applyFill="1" applyBorder="1" applyAlignment="1">
      <alignment/>
    </xf>
    <xf numFmtId="43" fontId="76" fillId="0" borderId="24" xfId="1175" applyFont="1" applyFill="1" applyBorder="1" applyAlignment="1">
      <alignment horizontal="center"/>
    </xf>
    <xf numFmtId="43" fontId="75" fillId="0" borderId="24" xfId="1175" applyFont="1" applyFill="1" applyBorder="1" applyAlignment="1">
      <alignment horizontal="center" vertical="justify"/>
    </xf>
    <xf numFmtId="171" fontId="76" fillId="0" borderId="83" xfId="1202" applyNumberFormat="1" applyFont="1" applyBorder="1" applyAlignment="1">
      <alignment/>
    </xf>
    <xf numFmtId="43" fontId="76" fillId="0" borderId="64" xfId="1175" applyFont="1" applyFill="1" applyBorder="1" applyAlignment="1">
      <alignment horizontal="center"/>
    </xf>
    <xf numFmtId="171" fontId="76" fillId="0" borderId="28" xfId="1202" applyNumberFormat="1" applyFont="1" applyBorder="1" applyAlignment="1">
      <alignment/>
    </xf>
    <xf numFmtId="43" fontId="76" fillId="0" borderId="52" xfId="1175" applyFont="1" applyFill="1" applyBorder="1" applyAlignment="1">
      <alignment horizontal="center"/>
    </xf>
    <xf numFmtId="171" fontId="76" fillId="0" borderId="24" xfId="1202" applyNumberFormat="1" applyFont="1" applyBorder="1" applyAlignment="1">
      <alignment/>
    </xf>
    <xf numFmtId="43" fontId="76" fillId="0" borderId="70" xfId="1175" applyFont="1" applyFill="1" applyBorder="1" applyAlignment="1">
      <alignment/>
    </xf>
    <xf numFmtId="171" fontId="76" fillId="0" borderId="68" xfId="1202" applyNumberFormat="1" applyFont="1" applyBorder="1" applyAlignment="1">
      <alignment/>
    </xf>
    <xf numFmtId="171" fontId="76" fillId="0" borderId="70" xfId="1202" applyNumberFormat="1" applyFont="1" applyBorder="1" applyAlignment="1">
      <alignment/>
    </xf>
    <xf numFmtId="43" fontId="76" fillId="0" borderId="55" xfId="1175" applyFont="1" applyFill="1" applyBorder="1" applyAlignment="1">
      <alignment horizontal="center"/>
    </xf>
    <xf numFmtId="49" fontId="8" fillId="0" borderId="0" xfId="0" applyNumberFormat="1" applyFont="1" applyFill="1" applyBorder="1" applyAlignment="1">
      <alignment horizontal="left" wrapText="1"/>
    </xf>
    <xf numFmtId="43" fontId="22" fillId="0" borderId="0" xfId="18" applyFont="1" applyFill="1" applyBorder="1" applyAlignment="1">
      <alignment/>
    </xf>
    <xf numFmtId="0" fontId="8" fillId="57" borderId="24" xfId="0" applyFont="1" applyFill="1" applyBorder="1" applyAlignment="1">
      <alignment horizontal="center" vertical="center" wrapText="1"/>
    </xf>
    <xf numFmtId="0" fontId="8" fillId="59" borderId="24" xfId="0" applyFont="1" applyFill="1" applyBorder="1" applyAlignment="1">
      <alignment horizontal="center" vertical="center" wrapText="1"/>
    </xf>
    <xf numFmtId="0" fontId="8" fillId="6" borderId="24" xfId="0" applyFont="1" applyFill="1" applyBorder="1" applyAlignment="1">
      <alignment horizontal="center" vertical="center" wrapText="1"/>
    </xf>
    <xf numFmtId="0" fontId="8" fillId="57" borderId="52" xfId="0" applyFont="1" applyFill="1" applyBorder="1" applyAlignment="1">
      <alignment/>
    </xf>
    <xf numFmtId="0" fontId="8" fillId="0" borderId="0" xfId="0" applyFont="1" applyFill="1" applyBorder="1" applyAlignment="1">
      <alignment/>
    </xf>
    <xf numFmtId="0" fontId="8" fillId="7" borderId="24" xfId="0" applyFont="1" applyFill="1" applyBorder="1" applyAlignment="1">
      <alignment horizontal="center" vertical="center" wrapText="1"/>
    </xf>
    <xf numFmtId="0" fontId="8" fillId="7" borderId="24" xfId="1331" applyFont="1" applyFill="1" applyBorder="1" applyAlignment="1">
      <alignment horizontal="center" vertical="center" wrapText="1"/>
      <protection/>
    </xf>
    <xf numFmtId="0" fontId="8" fillId="57" borderId="24" xfId="0" applyFont="1" applyFill="1" applyBorder="1" applyAlignment="1">
      <alignment horizontal="center"/>
    </xf>
    <xf numFmtId="0" fontId="8" fillId="6" borderId="37" xfId="0" applyFont="1" applyFill="1" applyBorder="1" applyAlignment="1">
      <alignment horizontal="center" vertical="center" wrapText="1"/>
    </xf>
    <xf numFmtId="43" fontId="8" fillId="53" borderId="37" xfId="18" applyFont="1" applyFill="1" applyBorder="1" applyAlignment="1">
      <alignment/>
    </xf>
    <xf numFmtId="43" fontId="8" fillId="54" borderId="37" xfId="18" applyFont="1" applyFill="1" applyBorder="1" applyAlignment="1">
      <alignment/>
    </xf>
    <xf numFmtId="43" fontId="8" fillId="7" borderId="24" xfId="18" applyFont="1" applyFill="1" applyBorder="1" applyAlignment="1">
      <alignment/>
    </xf>
    <xf numFmtId="43" fontId="8" fillId="7" borderId="31" xfId="18" applyFont="1" applyFill="1" applyBorder="1" applyAlignment="1">
      <alignment/>
    </xf>
    <xf numFmtId="43" fontId="8" fillId="6" borderId="24" xfId="18" applyFont="1" applyFill="1" applyBorder="1" applyAlignment="1">
      <alignment/>
    </xf>
    <xf numFmtId="43" fontId="8" fillId="6" borderId="37" xfId="18" applyFont="1" applyFill="1" applyBorder="1" applyAlignment="1">
      <alignment/>
    </xf>
    <xf numFmtId="43" fontId="8" fillId="6" borderId="23" xfId="18" applyFont="1" applyFill="1" applyBorder="1" applyAlignment="1">
      <alignment/>
    </xf>
    <xf numFmtId="43" fontId="8" fillId="6" borderId="37" xfId="18" applyFont="1" applyFill="1" applyBorder="1" applyAlignment="1">
      <alignment/>
    </xf>
    <xf numFmtId="43" fontId="17" fillId="6" borderId="35" xfId="1244" applyFont="1" applyFill="1" applyBorder="1" applyAlignment="1">
      <alignment/>
    </xf>
    <xf numFmtId="43" fontId="17" fillId="6" borderId="36" xfId="1244" applyFont="1" applyFill="1" applyBorder="1" applyAlignment="1">
      <alignment/>
    </xf>
    <xf numFmtId="43" fontId="17" fillId="6" borderId="34" xfId="1244" applyFont="1" applyFill="1" applyBorder="1" applyAlignment="1">
      <alignment/>
    </xf>
    <xf numFmtId="43" fontId="8" fillId="6" borderId="37" xfId="1244" applyFont="1" applyFill="1" applyBorder="1" applyAlignment="1">
      <alignment/>
    </xf>
    <xf numFmtId="49" fontId="75" fillId="0" borderId="35" xfId="0" applyNumberFormat="1" applyFont="1" applyFill="1" applyBorder="1" applyAlignment="1">
      <alignment horizontal="center"/>
    </xf>
    <xf numFmtId="49" fontId="75" fillId="0" borderId="24" xfId="0" applyNumberFormat="1" applyFont="1" applyFill="1" applyBorder="1" applyAlignment="1">
      <alignment horizontal="center"/>
    </xf>
    <xf numFmtId="0" fontId="19" fillId="0" borderId="36" xfId="0" applyFont="1" applyFill="1" applyBorder="1" applyAlignment="1">
      <alignment horizontal="left"/>
    </xf>
    <xf numFmtId="0" fontId="19" fillId="57" borderId="84" xfId="0" applyFont="1" applyFill="1" applyBorder="1" applyAlignment="1">
      <alignment horizontal="left"/>
    </xf>
    <xf numFmtId="43" fontId="22" fillId="57" borderId="35" xfId="18" applyFont="1" applyFill="1" applyBorder="1" applyAlignment="1">
      <alignment/>
    </xf>
    <xf numFmtId="0" fontId="22" fillId="0" borderId="35" xfId="0" applyFont="1" applyFill="1" applyBorder="1" applyAlignment="1">
      <alignment/>
    </xf>
    <xf numFmtId="0" fontId="22" fillId="57" borderId="36" xfId="0" applyFont="1" applyFill="1" applyBorder="1" applyAlignment="1">
      <alignment/>
    </xf>
    <xf numFmtId="43" fontId="17" fillId="0" borderId="84" xfId="18" applyFont="1" applyFill="1" applyBorder="1" applyAlignment="1">
      <alignment/>
    </xf>
    <xf numFmtId="43" fontId="17" fillId="0" borderId="84" xfId="0" applyNumberFormat="1" applyFont="1" applyFill="1" applyBorder="1" applyAlignment="1">
      <alignment horizontal="left"/>
    </xf>
    <xf numFmtId="0" fontId="8" fillId="6" borderId="76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/>
    </xf>
    <xf numFmtId="49" fontId="8" fillId="0" borderId="37" xfId="0" applyNumberFormat="1" applyFont="1" applyFill="1" applyBorder="1" applyAlignment="1">
      <alignment wrapText="1"/>
    </xf>
    <xf numFmtId="49" fontId="8" fillId="0" borderId="37" xfId="0" applyNumberFormat="1" applyFont="1" applyBorder="1" applyAlignment="1">
      <alignment wrapText="1"/>
    </xf>
    <xf numFmtId="43" fontId="76" fillId="0" borderId="55" xfId="1175" applyFont="1" applyFill="1" applyBorder="1" applyAlignment="1">
      <alignment/>
    </xf>
    <xf numFmtId="0" fontId="8" fillId="6" borderId="48" xfId="0" applyFont="1" applyFill="1" applyBorder="1" applyAlignment="1">
      <alignment horizontal="center" vertical="center" wrapText="1"/>
    </xf>
    <xf numFmtId="43" fontId="22" fillId="0" borderId="28" xfId="18" applyFont="1" applyFill="1" applyBorder="1" applyAlignment="1">
      <alignment/>
    </xf>
    <xf numFmtId="43" fontId="22" fillId="0" borderId="28" xfId="18" applyFont="1" applyBorder="1" applyAlignment="1">
      <alignment/>
    </xf>
    <xf numFmtId="0" fontId="8" fillId="6" borderId="26" xfId="0" applyFont="1" applyFill="1" applyBorder="1" applyAlignment="1">
      <alignment horizontal="center" vertical="center" wrapText="1"/>
    </xf>
    <xf numFmtId="43" fontId="8" fillId="57" borderId="35" xfId="18" applyFont="1" applyFill="1" applyBorder="1" applyAlignment="1">
      <alignment/>
    </xf>
    <xf numFmtId="43" fontId="8" fillId="0" borderId="34" xfId="18" applyFont="1" applyFill="1" applyBorder="1" applyAlignment="1">
      <alignment/>
    </xf>
    <xf numFmtId="43" fontId="8" fillId="0" borderId="85" xfId="18" applyFont="1" applyFill="1" applyBorder="1" applyAlignment="1">
      <alignment/>
    </xf>
    <xf numFmtId="49" fontId="4" fillId="57" borderId="65" xfId="0" applyNumberFormat="1" applyFont="1" applyFill="1" applyBorder="1" applyAlignment="1">
      <alignment horizontal="left" wrapText="1"/>
    </xf>
    <xf numFmtId="43" fontId="8" fillId="0" borderId="65" xfId="0" applyNumberFormat="1" applyFont="1" applyFill="1" applyBorder="1" applyAlignment="1">
      <alignment/>
    </xf>
    <xf numFmtId="43" fontId="8" fillId="0" borderId="50" xfId="0" applyNumberFormat="1" applyFont="1" applyFill="1" applyBorder="1" applyAlignment="1">
      <alignment/>
    </xf>
    <xf numFmtId="43" fontId="8" fillId="6" borderId="34" xfId="18" applyFont="1" applyFill="1" applyBorder="1" applyAlignment="1">
      <alignment/>
    </xf>
    <xf numFmtId="43" fontId="8" fillId="7" borderId="34" xfId="18" applyFont="1" applyFill="1" applyBorder="1" applyAlignment="1">
      <alignment/>
    </xf>
    <xf numFmtId="43" fontId="8" fillId="7" borderId="41" xfId="18" applyFont="1" applyFill="1" applyBorder="1" applyAlignment="1">
      <alignment/>
    </xf>
    <xf numFmtId="43" fontId="8" fillId="7" borderId="42" xfId="18" applyFont="1" applyFill="1" applyBorder="1" applyAlignment="1">
      <alignment/>
    </xf>
    <xf numFmtId="43" fontId="8" fillId="7" borderId="43" xfId="18" applyFont="1" applyFill="1" applyBorder="1" applyAlignment="1">
      <alignment/>
    </xf>
    <xf numFmtId="43" fontId="8" fillId="7" borderId="43" xfId="18" applyFont="1" applyFill="1" applyBorder="1" applyAlignment="1">
      <alignment/>
    </xf>
    <xf numFmtId="43" fontId="8" fillId="7" borderId="86" xfId="18" applyFont="1" applyFill="1" applyBorder="1" applyAlignment="1">
      <alignment/>
    </xf>
    <xf numFmtId="0" fontId="73" fillId="0" borderId="0" xfId="0" applyFont="1" applyFill="1" applyAlignment="1">
      <alignment horizontal="left"/>
    </xf>
    <xf numFmtId="171" fontId="8" fillId="0" borderId="0" xfId="0" applyNumberFormat="1" applyFont="1" applyFill="1" applyBorder="1" applyAlignment="1">
      <alignment horizontal="right"/>
    </xf>
    <xf numFmtId="43" fontId="17" fillId="0" borderId="0" xfId="18" applyFont="1" applyFill="1" applyBorder="1" applyAlignment="1">
      <alignment/>
    </xf>
    <xf numFmtId="43" fontId="8" fillId="0" borderId="80" xfId="18" applyFont="1" applyFill="1" applyBorder="1" applyAlignment="1">
      <alignment/>
    </xf>
    <xf numFmtId="0" fontId="8" fillId="57" borderId="52" xfId="0" applyFont="1" applyFill="1" applyBorder="1" applyAlignment="1">
      <alignment horizontal="center" vertical="center" wrapText="1"/>
    </xf>
    <xf numFmtId="43" fontId="22" fillId="0" borderId="37" xfId="18" applyFont="1" applyFill="1" applyBorder="1" applyAlignment="1">
      <alignment/>
    </xf>
    <xf numFmtId="43" fontId="76" fillId="0" borderId="37" xfId="1175" applyFont="1" applyFill="1" applyBorder="1" applyAlignment="1">
      <alignment/>
    </xf>
    <xf numFmtId="43" fontId="76" fillId="0" borderId="68" xfId="1175" applyFont="1" applyFill="1" applyBorder="1" applyAlignment="1">
      <alignment/>
    </xf>
    <xf numFmtId="171" fontId="8" fillId="7" borderId="48" xfId="0" applyNumberFormat="1" applyFont="1" applyFill="1" applyBorder="1" applyAlignment="1">
      <alignment horizontal="center" vertical="justify"/>
    </xf>
    <xf numFmtId="49" fontId="4" fillId="57" borderId="42" xfId="0" applyNumberFormat="1" applyFont="1" applyFill="1" applyBorder="1" applyAlignment="1">
      <alignment horizontal="left" wrapText="1"/>
    </xf>
    <xf numFmtId="43" fontId="8" fillId="57" borderId="42" xfId="18" applyFont="1" applyFill="1" applyBorder="1" applyAlignment="1">
      <alignment/>
    </xf>
    <xf numFmtId="43" fontId="49" fillId="57" borderId="42" xfId="18" applyFont="1" applyFill="1" applyBorder="1" applyAlignment="1">
      <alignment/>
    </xf>
    <xf numFmtId="43" fontId="17" fillId="7" borderId="31" xfId="18" applyFont="1" applyFill="1" applyBorder="1" applyAlignment="1">
      <alignment/>
    </xf>
    <xf numFmtId="0" fontId="8" fillId="0" borderId="0" xfId="1345" applyFont="1" applyAlignment="1">
      <alignment horizontal="center"/>
      <protection/>
    </xf>
    <xf numFmtId="0" fontId="9" fillId="0" borderId="0" xfId="1345" applyFont="1" applyAlignment="1">
      <alignment horizontal="center"/>
      <protection/>
    </xf>
    <xf numFmtId="0" fontId="22" fillId="0" borderId="0" xfId="1345" applyFont="1" applyAlignment="1">
      <alignment horizontal="center"/>
      <protection/>
    </xf>
    <xf numFmtId="0" fontId="0" fillId="0" borderId="0" xfId="1345">
      <alignment/>
      <protection/>
    </xf>
    <xf numFmtId="0" fontId="3" fillId="0" borderId="0" xfId="1345" applyFont="1">
      <alignment/>
      <protection/>
    </xf>
    <xf numFmtId="0" fontId="0" fillId="0" borderId="0" xfId="1345" applyFont="1">
      <alignment/>
      <protection/>
    </xf>
    <xf numFmtId="0" fontId="0" fillId="0" borderId="0" xfId="1345" applyFill="1">
      <alignment/>
      <protection/>
    </xf>
    <xf numFmtId="0" fontId="11" fillId="0" borderId="0" xfId="0" applyFont="1" applyFill="1" applyAlignment="1">
      <alignment horizontal="center"/>
    </xf>
    <xf numFmtId="43" fontId="26" fillId="0" borderId="0" xfId="18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4" fontId="26" fillId="0" borderId="0" xfId="0" applyNumberFormat="1" applyFont="1" applyFill="1" applyBorder="1" applyAlignment="1">
      <alignment horizontal="center"/>
    </xf>
    <xf numFmtId="0" fontId="87" fillId="27" borderId="73" xfId="0" applyFont="1" applyFill="1" applyBorder="1" applyAlignment="1">
      <alignment horizontal="center"/>
    </xf>
    <xf numFmtId="14" fontId="87" fillId="27" borderId="0" xfId="0" applyNumberFormat="1" applyFont="1" applyFill="1" applyAlignment="1">
      <alignment horizontal="center"/>
    </xf>
    <xf numFmtId="171" fontId="11" fillId="51" borderId="40" xfId="0" applyNumberFormat="1" applyFont="1" applyFill="1" applyBorder="1" applyAlignment="1">
      <alignment/>
    </xf>
    <xf numFmtId="171" fontId="11" fillId="5" borderId="36" xfId="0" applyNumberFormat="1" applyFont="1" applyFill="1" applyBorder="1" applyAlignment="1">
      <alignment/>
    </xf>
    <xf numFmtId="171" fontId="11" fillId="4" borderId="43" xfId="0" applyNumberFormat="1" applyFont="1" applyFill="1" applyBorder="1" applyAlignment="1">
      <alignment/>
    </xf>
    <xf numFmtId="17" fontId="11" fillId="0" borderId="0" xfId="0" applyNumberFormat="1" applyFont="1" applyBorder="1" applyAlignment="1">
      <alignment horizontal="center"/>
    </xf>
    <xf numFmtId="17" fontId="11" fillId="0" borderId="27" xfId="0" applyNumberFormat="1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56" borderId="27" xfId="0" applyFont="1" applyFill="1" applyBorder="1" applyAlignment="1">
      <alignment horizontal="center" vertical="center" wrapText="1"/>
    </xf>
    <xf numFmtId="0" fontId="11" fillId="56" borderId="24" xfId="0" applyFont="1" applyFill="1" applyBorder="1" applyAlignment="1">
      <alignment horizontal="center" vertical="center" wrapText="1"/>
    </xf>
    <xf numFmtId="0" fontId="11" fillId="56" borderId="87" xfId="0" applyFont="1" applyFill="1" applyBorder="1" applyAlignment="1">
      <alignment horizontal="center" vertical="center" wrapText="1"/>
    </xf>
    <xf numFmtId="178" fontId="11" fillId="56" borderId="31" xfId="0" applyNumberFormat="1" applyFont="1" applyFill="1" applyBorder="1" applyAlignment="1">
      <alignment horizontal="center" vertical="center" wrapText="1"/>
    </xf>
    <xf numFmtId="0" fontId="11" fillId="54" borderId="79" xfId="0" applyFont="1" applyFill="1" applyBorder="1" applyAlignment="1">
      <alignment horizontal="center"/>
    </xf>
    <xf numFmtId="0" fontId="11" fillId="26" borderId="24" xfId="0" applyFont="1" applyFill="1" applyBorder="1" applyAlignment="1">
      <alignment horizontal="center"/>
    </xf>
    <xf numFmtId="0" fontId="10" fillId="26" borderId="24" xfId="0" applyFont="1" applyFill="1" applyBorder="1" applyAlignment="1">
      <alignment horizontal="center"/>
    </xf>
    <xf numFmtId="178" fontId="11" fillId="26" borderId="24" xfId="0" applyNumberFormat="1" applyFont="1" applyFill="1" applyBorder="1" applyAlignment="1">
      <alignment horizontal="right"/>
    </xf>
    <xf numFmtId="0" fontId="11" fillId="7" borderId="24" xfId="0" applyFont="1" applyFill="1" applyBorder="1" applyAlignment="1">
      <alignment horizontal="center"/>
    </xf>
    <xf numFmtId="0" fontId="10" fillId="54" borderId="61" xfId="0" applyFont="1" applyFill="1" applyBorder="1" applyAlignment="1">
      <alignment horizontal="center"/>
    </xf>
    <xf numFmtId="178" fontId="11" fillId="54" borderId="61" xfId="0" applyNumberFormat="1" applyFont="1" applyFill="1" applyBorder="1" applyAlignment="1">
      <alignment horizontal="right"/>
    </xf>
    <xf numFmtId="0" fontId="80" fillId="0" borderId="0" xfId="0" applyFont="1" applyAlignment="1">
      <alignment/>
    </xf>
    <xf numFmtId="0" fontId="25" fillId="0" borderId="0" xfId="0" applyFont="1" applyAlignment="1">
      <alignment/>
    </xf>
    <xf numFmtId="43" fontId="25" fillId="0" borderId="0" xfId="0" applyNumberFormat="1" applyFont="1" applyAlignment="1">
      <alignment/>
    </xf>
    <xf numFmtId="0" fontId="25" fillId="0" borderId="0" xfId="0" applyFont="1" applyFill="1" applyBorder="1" applyAlignment="1">
      <alignment/>
    </xf>
    <xf numFmtId="43" fontId="10" fillId="0" borderId="0" xfId="18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/>
    </xf>
    <xf numFmtId="43" fontId="11" fillId="0" borderId="61" xfId="18" applyFont="1" applyBorder="1" applyAlignment="1">
      <alignment/>
    </xf>
    <xf numFmtId="43" fontId="11" fillId="7" borderId="24" xfId="0" applyNumberFormat="1" applyFont="1" applyFill="1" applyBorder="1" applyAlignment="1">
      <alignment/>
    </xf>
    <xf numFmtId="0" fontId="11" fillId="0" borderId="84" xfId="0" applyFont="1" applyFill="1" applyBorder="1" applyAlignment="1">
      <alignment horizontal="center"/>
    </xf>
    <xf numFmtId="0" fontId="11" fillId="0" borderId="29" xfId="0" applyFont="1" applyFill="1" applyBorder="1" applyAlignment="1">
      <alignment horizontal="center"/>
    </xf>
    <xf numFmtId="0" fontId="74" fillId="0" borderId="0" xfId="0" applyFont="1" applyFill="1" applyBorder="1" applyAlignment="1">
      <alignment/>
    </xf>
    <xf numFmtId="0" fontId="34" fillId="0" borderId="0" xfId="0" applyFont="1" applyFill="1" applyBorder="1" applyAlignment="1">
      <alignment/>
    </xf>
    <xf numFmtId="0" fontId="75" fillId="54" borderId="0" xfId="0" applyFont="1" applyFill="1" applyBorder="1" applyAlignment="1">
      <alignment/>
    </xf>
    <xf numFmtId="0" fontId="4" fillId="58" borderId="35" xfId="0" applyFont="1" applyFill="1" applyBorder="1" applyAlignment="1">
      <alignment horizontal="center" vertical="center" wrapText="1"/>
    </xf>
    <xf numFmtId="171" fontId="8" fillId="0" borderId="0" xfId="0" applyNumberFormat="1" applyFont="1" applyFill="1" applyBorder="1" applyAlignment="1">
      <alignment/>
    </xf>
    <xf numFmtId="43" fontId="8" fillId="57" borderId="43" xfId="18" applyFont="1" applyFill="1" applyBorder="1" applyAlignment="1">
      <alignment/>
    </xf>
    <xf numFmtId="0" fontId="2" fillId="0" borderId="0" xfId="0" applyFont="1" applyAlignment="1">
      <alignment/>
    </xf>
    <xf numFmtId="43" fontId="2" fillId="0" borderId="0" xfId="18" applyFont="1" applyBorder="1" applyAlignment="1">
      <alignment/>
    </xf>
    <xf numFmtId="43" fontId="8" fillId="6" borderId="50" xfId="0" applyNumberFormat="1" applyFont="1" applyFill="1" applyBorder="1" applyAlignment="1">
      <alignment/>
    </xf>
    <xf numFmtId="43" fontId="8" fillId="27" borderId="50" xfId="0" applyNumberFormat="1" applyFont="1" applyFill="1" applyBorder="1" applyAlignment="1">
      <alignment/>
    </xf>
    <xf numFmtId="43" fontId="8" fillId="0" borderId="0" xfId="0" applyNumberFormat="1" applyFont="1" applyFill="1" applyAlignment="1">
      <alignment/>
    </xf>
    <xf numFmtId="43" fontId="3" fillId="0" borderId="0" xfId="0" applyNumberFormat="1" applyFont="1" applyFill="1" applyAlignment="1">
      <alignment/>
    </xf>
    <xf numFmtId="43" fontId="4" fillId="0" borderId="0" xfId="0" applyNumberFormat="1" applyFont="1" applyFill="1" applyAlignment="1">
      <alignment/>
    </xf>
    <xf numFmtId="43" fontId="3" fillId="0" borderId="84" xfId="0" applyNumberFormat="1" applyFont="1" applyFill="1" applyBorder="1" applyAlignment="1">
      <alignment/>
    </xf>
    <xf numFmtId="43" fontId="4" fillId="0" borderId="84" xfId="0" applyNumberFormat="1" applyFont="1" applyFill="1" applyBorder="1" applyAlignment="1">
      <alignment/>
    </xf>
    <xf numFmtId="43" fontId="2" fillId="0" borderId="0" xfId="0" applyNumberFormat="1" applyFont="1" applyBorder="1" applyAlignment="1">
      <alignment/>
    </xf>
    <xf numFmtId="0" fontId="81" fillId="0" borderId="0" xfId="0" applyFont="1" applyBorder="1" applyAlignment="1">
      <alignment/>
    </xf>
    <xf numFmtId="43" fontId="2" fillId="56" borderId="0" xfId="0" applyNumberFormat="1" applyFont="1" applyFill="1" applyAlignment="1">
      <alignment/>
    </xf>
    <xf numFmtId="43" fontId="2" fillId="59" borderId="0" xfId="0" applyNumberFormat="1" applyFont="1" applyFill="1" applyBorder="1" applyAlignment="1">
      <alignment/>
    </xf>
    <xf numFmtId="43" fontId="2" fillId="59" borderId="0" xfId="18" applyFont="1" applyFill="1" applyBorder="1" applyAlignment="1">
      <alignment/>
    </xf>
    <xf numFmtId="43" fontId="10" fillId="0" borderId="0" xfId="18" applyFont="1" applyAlignment="1">
      <alignment/>
    </xf>
    <xf numFmtId="177" fontId="4" fillId="59" borderId="79" xfId="16" applyFont="1" applyFill="1" applyBorder="1" applyAlignment="1">
      <alignment/>
    </xf>
    <xf numFmtId="43" fontId="2" fillId="0" borderId="0" xfId="0" applyNumberFormat="1" applyFont="1" applyAlignment="1">
      <alignment/>
    </xf>
    <xf numFmtId="0" fontId="11" fillId="14" borderId="24" xfId="0" applyFont="1" applyFill="1" applyBorder="1" applyAlignment="1">
      <alignment horizontal="center" vertical="center" wrapText="1"/>
    </xf>
    <xf numFmtId="0" fontId="4" fillId="56" borderId="24" xfId="0" applyFont="1" applyFill="1" applyBorder="1" applyAlignment="1">
      <alignment horizontal="center" vertical="center" wrapText="1"/>
    </xf>
    <xf numFmtId="49" fontId="11" fillId="0" borderId="24" xfId="0" applyNumberFormat="1" applyFont="1" applyFill="1" applyBorder="1" applyAlignment="1">
      <alignment horizontal="center" vertical="center" wrapText="1"/>
    </xf>
    <xf numFmtId="177" fontId="4" fillId="59" borderId="0" xfId="16" applyFont="1" applyFill="1" applyBorder="1" applyAlignment="1">
      <alignment/>
    </xf>
    <xf numFmtId="0" fontId="71" fillId="0" borderId="0" xfId="0" applyFont="1" applyBorder="1" applyAlignment="1">
      <alignment horizontal="left" vertical="center" wrapText="1"/>
    </xf>
    <xf numFmtId="0" fontId="71" fillId="0" borderId="58" xfId="0" applyFont="1" applyBorder="1" applyAlignment="1">
      <alignment horizontal="left" vertical="center" wrapText="1"/>
    </xf>
    <xf numFmtId="177" fontId="2" fillId="0" borderId="0" xfId="0" applyNumberFormat="1" applyFont="1" applyBorder="1" applyAlignment="1">
      <alignment/>
    </xf>
    <xf numFmtId="0" fontId="2" fillId="0" borderId="0" xfId="0" applyNumberFormat="1" applyFont="1" applyAlignment="1">
      <alignment horizontal="center" vertical="center" wrapText="1"/>
    </xf>
    <xf numFmtId="43" fontId="2" fillId="0" borderId="0" xfId="0" applyNumberFormat="1" applyFont="1" applyBorder="1" applyAlignment="1">
      <alignment horizontal="center" vertical="center" wrapText="1"/>
    </xf>
    <xf numFmtId="43" fontId="10" fillId="0" borderId="36" xfId="1176" applyFont="1" applyBorder="1" applyAlignment="1">
      <alignment/>
    </xf>
    <xf numFmtId="43" fontId="0" fillId="0" borderId="0" xfId="18" applyFont="1" applyAlignment="1">
      <alignment/>
    </xf>
    <xf numFmtId="43" fontId="22" fillId="0" borderId="0" xfId="0" applyNumberFormat="1" applyFont="1" applyAlignment="1">
      <alignment horizontal="center"/>
    </xf>
    <xf numFmtId="43" fontId="75" fillId="0" borderId="83" xfId="1175" applyFont="1" applyBorder="1" applyAlignment="1">
      <alignment/>
    </xf>
    <xf numFmtId="0" fontId="33" fillId="57" borderId="24" xfId="18" applyNumberFormat="1" applyFont="1" applyFill="1" applyBorder="1" applyAlignment="1">
      <alignment horizontal="center" vertical="center" wrapText="1"/>
    </xf>
    <xf numFmtId="43" fontId="25" fillId="0" borderId="0" xfId="18" applyFont="1" applyAlignment="1">
      <alignment/>
    </xf>
    <xf numFmtId="43" fontId="25" fillId="0" borderId="0" xfId="18" applyFont="1" applyFill="1" applyBorder="1" applyAlignment="1">
      <alignment/>
    </xf>
    <xf numFmtId="43" fontId="17" fillId="7" borderId="42" xfId="18" applyFont="1" applyFill="1" applyBorder="1" applyAlignment="1">
      <alignment/>
    </xf>
    <xf numFmtId="43" fontId="0" fillId="0" borderId="0" xfId="0" applyNumberFormat="1" applyFont="1" applyAlignment="1">
      <alignment/>
    </xf>
    <xf numFmtId="43" fontId="10" fillId="0" borderId="24" xfId="1245" applyFont="1" applyBorder="1" applyAlignment="1">
      <alignment/>
    </xf>
    <xf numFmtId="177" fontId="25" fillId="0" borderId="0" xfId="0" applyNumberFormat="1" applyFont="1" applyAlignment="1">
      <alignment/>
    </xf>
    <xf numFmtId="43" fontId="2" fillId="0" borderId="24" xfId="1176" applyFont="1" applyBorder="1" applyAlignment="1">
      <alignment/>
    </xf>
    <xf numFmtId="43" fontId="0" fillId="0" borderId="24" xfId="1176" applyFont="1" applyBorder="1" applyAlignment="1">
      <alignment/>
    </xf>
    <xf numFmtId="43" fontId="75" fillId="0" borderId="0" xfId="1175" applyFont="1" applyBorder="1" applyAlignment="1">
      <alignment/>
    </xf>
    <xf numFmtId="43" fontId="76" fillId="0" borderId="0" xfId="1175" applyFont="1" applyFill="1" applyBorder="1" applyAlignment="1">
      <alignment/>
    </xf>
    <xf numFmtId="171" fontId="76" fillId="0" borderId="0" xfId="1202" applyNumberFormat="1" applyFont="1" applyBorder="1" applyAlignment="1">
      <alignment/>
    </xf>
    <xf numFmtId="43" fontId="76" fillId="0" borderId="0" xfId="1175" applyFont="1" applyFill="1" applyBorder="1" applyAlignment="1">
      <alignment horizontal="center"/>
    </xf>
    <xf numFmtId="171" fontId="8" fillId="7" borderId="84" xfId="0" applyNumberFormat="1" applyFont="1" applyFill="1" applyBorder="1" applyAlignment="1">
      <alignment horizontal="center" vertical="justify"/>
    </xf>
    <xf numFmtId="171" fontId="76" fillId="0" borderId="0" xfId="1202" applyNumberFormat="1" applyFont="1" applyFill="1" applyBorder="1" applyAlignment="1">
      <alignment/>
    </xf>
    <xf numFmtId="43" fontId="17" fillId="0" borderId="0" xfId="1175" applyFont="1" applyFill="1" applyBorder="1" applyAlignment="1">
      <alignment/>
    </xf>
    <xf numFmtId="0" fontId="0" fillId="0" borderId="24" xfId="0" applyFill="1" applyBorder="1" applyAlignment="1">
      <alignment/>
    </xf>
    <xf numFmtId="43" fontId="11" fillId="0" borderId="0" xfId="0" applyNumberFormat="1" applyFont="1" applyFill="1" applyBorder="1" applyAlignment="1">
      <alignment horizontal="center"/>
    </xf>
    <xf numFmtId="43" fontId="10" fillId="0" borderId="87" xfId="1245" applyFont="1" applyFill="1" applyBorder="1" applyAlignment="1">
      <alignment/>
    </xf>
    <xf numFmtId="43" fontId="10" fillId="0" borderId="37" xfId="1245" applyFont="1" applyBorder="1" applyAlignment="1">
      <alignment/>
    </xf>
    <xf numFmtId="43" fontId="75" fillId="0" borderId="29" xfId="1175" applyFont="1" applyBorder="1" applyAlignment="1">
      <alignment/>
    </xf>
    <xf numFmtId="0" fontId="75" fillId="54" borderId="24" xfId="0" applyFont="1" applyFill="1" applyBorder="1" applyAlignment="1">
      <alignment/>
    </xf>
    <xf numFmtId="0" fontId="75" fillId="0" borderId="31" xfId="0" applyNumberFormat="1" applyFont="1" applyFill="1" applyBorder="1" applyAlignment="1">
      <alignment horizontal="center"/>
    </xf>
    <xf numFmtId="0" fontId="88" fillId="0" borderId="0" xfId="0" applyFont="1" applyFill="1" applyBorder="1" applyAlignment="1">
      <alignment horizontal="center"/>
    </xf>
    <xf numFmtId="43" fontId="11" fillId="0" borderId="0" xfId="18" applyFont="1" applyAlignment="1">
      <alignment/>
    </xf>
    <xf numFmtId="43" fontId="89" fillId="57" borderId="42" xfId="0" applyNumberFormat="1" applyFont="1" applyFill="1" applyBorder="1" applyAlignment="1">
      <alignment/>
    </xf>
    <xf numFmtId="43" fontId="43" fillId="0" borderId="0" xfId="18" applyFont="1" applyAlignment="1">
      <alignment/>
    </xf>
    <xf numFmtId="43" fontId="10" fillId="0" borderId="0" xfId="1244" applyFont="1" applyBorder="1" applyAlignment="1">
      <alignment/>
    </xf>
    <xf numFmtId="43" fontId="10" fillId="0" borderId="0" xfId="18" applyFont="1" applyFill="1" applyBorder="1" applyAlignment="1">
      <alignment/>
    </xf>
    <xf numFmtId="43" fontId="10" fillId="0" borderId="0" xfId="1176" applyFont="1" applyBorder="1" applyAlignment="1">
      <alignment/>
    </xf>
    <xf numFmtId="43" fontId="10" fillId="0" borderId="0" xfId="0" applyNumberFormat="1" applyFont="1" applyAlignment="1">
      <alignment/>
    </xf>
    <xf numFmtId="43" fontId="11" fillId="0" borderId="0" xfId="18" applyFont="1" applyFill="1" applyBorder="1" applyAlignment="1">
      <alignment horizontal="center"/>
    </xf>
    <xf numFmtId="43" fontId="17" fillId="0" borderId="42" xfId="18" applyFont="1" applyFill="1" applyBorder="1" applyAlignment="1">
      <alignment/>
    </xf>
    <xf numFmtId="43" fontId="22" fillId="0" borderId="0" xfId="1345" applyNumberFormat="1" applyFont="1" applyAlignment="1">
      <alignment horizontal="center"/>
      <protection/>
    </xf>
    <xf numFmtId="177" fontId="10" fillId="0" borderId="0" xfId="0" applyNumberFormat="1" applyFont="1" applyAlignment="1">
      <alignment/>
    </xf>
    <xf numFmtId="43" fontId="8" fillId="0" borderId="0" xfId="1345" applyNumberFormat="1" applyFont="1" applyAlignment="1">
      <alignment horizontal="center"/>
      <protection/>
    </xf>
    <xf numFmtId="43" fontId="90" fillId="0" borderId="0" xfId="0" applyNumberFormat="1" applyFont="1" applyAlignment="1">
      <alignment/>
    </xf>
    <xf numFmtId="43" fontId="10" fillId="0" borderId="24" xfId="1176" applyFont="1" applyBorder="1" applyAlignment="1">
      <alignment/>
    </xf>
    <xf numFmtId="43" fontId="10" fillId="0" borderId="37" xfId="1176" applyFont="1" applyBorder="1" applyAlignment="1">
      <alignment/>
    </xf>
    <xf numFmtId="43" fontId="2" fillId="56" borderId="0" xfId="0" applyNumberFormat="1" applyFont="1" applyFill="1" applyBorder="1" applyAlignment="1">
      <alignment horizontal="center"/>
    </xf>
    <xf numFmtId="43" fontId="2" fillId="56" borderId="0" xfId="0" applyNumberFormat="1" applyFont="1" applyFill="1" applyAlignment="1">
      <alignment horizontal="center"/>
    </xf>
    <xf numFmtId="0" fontId="8" fillId="6" borderId="35" xfId="0" applyFont="1" applyFill="1" applyBorder="1" applyAlignment="1">
      <alignment horizontal="center" vertical="center" wrapText="1"/>
    </xf>
    <xf numFmtId="0" fontId="8" fillId="6" borderId="64" xfId="0" applyFont="1" applyFill="1" applyBorder="1" applyAlignment="1">
      <alignment horizontal="center" vertical="center" wrapText="1"/>
    </xf>
    <xf numFmtId="0" fontId="8" fillId="6" borderId="36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0" fontId="29" fillId="0" borderId="0" xfId="0" applyFont="1" applyFill="1" applyAlignment="1">
      <alignment horizontal="center"/>
    </xf>
    <xf numFmtId="0" fontId="31" fillId="0" borderId="0" xfId="0" applyFont="1" applyFill="1" applyAlignment="1">
      <alignment horizontal="center"/>
    </xf>
    <xf numFmtId="49" fontId="31" fillId="0" borderId="0" xfId="0" applyNumberFormat="1" applyFont="1" applyFill="1" applyAlignment="1">
      <alignment horizontal="center"/>
    </xf>
    <xf numFmtId="0" fontId="4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 vertical="center" wrapText="1"/>
    </xf>
    <xf numFmtId="43" fontId="10" fillId="0" borderId="0" xfId="1176" applyFont="1" applyFill="1" applyBorder="1" applyAlignment="1">
      <alignment/>
    </xf>
    <xf numFmtId="171" fontId="10" fillId="0" borderId="0" xfId="0" applyNumberFormat="1" applyFont="1" applyFill="1" applyBorder="1" applyAlignment="1">
      <alignment/>
    </xf>
    <xf numFmtId="171" fontId="11" fillId="0" borderId="36" xfId="0" applyNumberFormat="1" applyFont="1" applyBorder="1" applyAlignment="1">
      <alignment/>
    </xf>
    <xf numFmtId="49" fontId="11" fillId="0" borderId="73" xfId="0" applyNumberFormat="1" applyFont="1" applyFill="1" applyBorder="1" applyAlignment="1">
      <alignment vertical="justify"/>
    </xf>
    <xf numFmtId="171" fontId="10" fillId="0" borderId="36" xfId="0" applyNumberFormat="1" applyFont="1" applyBorder="1" applyAlignment="1">
      <alignment/>
    </xf>
    <xf numFmtId="43" fontId="11" fillId="4" borderId="88" xfId="18" applyFont="1" applyFill="1" applyBorder="1" applyAlignment="1">
      <alignment/>
    </xf>
    <xf numFmtId="171" fontId="11" fillId="51" borderId="37" xfId="0" applyNumberFormat="1" applyFont="1" applyFill="1" applyBorder="1" applyAlignment="1">
      <alignment/>
    </xf>
    <xf numFmtId="43" fontId="11" fillId="16" borderId="43" xfId="18" applyFont="1" applyFill="1" applyBorder="1" applyAlignment="1">
      <alignment/>
    </xf>
    <xf numFmtId="43" fontId="10" fillId="0" borderId="52" xfId="18" applyFont="1" applyBorder="1" applyAlignment="1">
      <alignment/>
    </xf>
    <xf numFmtId="49" fontId="31" fillId="0" borderId="0" xfId="0" applyNumberFormat="1" applyFont="1" applyFill="1" applyBorder="1" applyAlignment="1">
      <alignment horizontal="center"/>
    </xf>
    <xf numFmtId="0" fontId="32" fillId="0" borderId="0" xfId="0" applyFont="1" applyFill="1" applyBorder="1" applyAlignment="1">
      <alignment/>
    </xf>
    <xf numFmtId="171" fontId="0" fillId="0" borderId="0" xfId="0" applyNumberFormat="1" applyFill="1" applyBorder="1" applyAlignment="1">
      <alignment/>
    </xf>
    <xf numFmtId="0" fontId="42" fillId="0" borderId="0" xfId="0" applyFont="1" applyFill="1" applyBorder="1" applyAlignment="1">
      <alignment/>
    </xf>
    <xf numFmtId="0" fontId="8" fillId="0" borderId="36" xfId="0" applyFont="1" applyFill="1" applyBorder="1" applyAlignment="1">
      <alignment/>
    </xf>
    <xf numFmtId="0" fontId="3" fillId="0" borderId="0" xfId="0" applyFont="1" applyFill="1" applyBorder="1" applyAlignment="1">
      <alignment/>
    </xf>
    <xf numFmtId="0" fontId="3" fillId="0" borderId="0" xfId="0" applyFont="1" applyBorder="1" applyAlignment="1">
      <alignment/>
    </xf>
    <xf numFmtId="43" fontId="8" fillId="0" borderId="0" xfId="1345" applyNumberFormat="1" applyFont="1" applyBorder="1" applyAlignment="1">
      <alignment horizontal="center"/>
      <protection/>
    </xf>
    <xf numFmtId="0" fontId="3" fillId="0" borderId="0" xfId="1345" applyFont="1" applyBorder="1">
      <alignment/>
      <protection/>
    </xf>
    <xf numFmtId="0" fontId="0" fillId="0" borderId="0" xfId="1345" applyBorder="1">
      <alignment/>
      <protection/>
    </xf>
    <xf numFmtId="43" fontId="22" fillId="0" borderId="0" xfId="1345" applyNumberFormat="1" applyFont="1" applyBorder="1" applyAlignment="1">
      <alignment horizontal="center"/>
      <protection/>
    </xf>
    <xf numFmtId="0" fontId="0" fillId="0" borderId="0" xfId="1345" applyFont="1" applyBorder="1">
      <alignment/>
      <protection/>
    </xf>
    <xf numFmtId="0" fontId="9" fillId="0" borderId="0" xfId="1345" applyFont="1" applyBorder="1" applyAlignment="1">
      <alignment horizontal="center"/>
      <protection/>
    </xf>
    <xf numFmtId="0" fontId="0" fillId="0" borderId="0" xfId="0" applyFont="1" applyBorder="1" applyAlignment="1">
      <alignment/>
    </xf>
    <xf numFmtId="0" fontId="22" fillId="0" borderId="0" xfId="0" applyFont="1" applyBorder="1" applyAlignment="1">
      <alignment horizontal="center"/>
    </xf>
    <xf numFmtId="171" fontId="8" fillId="0" borderId="35" xfId="0" applyNumberFormat="1" applyFont="1" applyFill="1" applyBorder="1" applyAlignment="1">
      <alignment horizontal="center" vertical="justify"/>
    </xf>
    <xf numFmtId="0" fontId="72" fillId="0" borderId="0" xfId="0" applyFont="1" applyFill="1" applyAlignment="1">
      <alignment/>
    </xf>
    <xf numFmtId="0" fontId="17" fillId="0" borderId="0" xfId="0" applyFont="1" applyFill="1" applyAlignment="1">
      <alignment/>
    </xf>
    <xf numFmtId="0" fontId="17" fillId="0" borderId="0" xfId="0" applyFont="1" applyAlignment="1">
      <alignment/>
    </xf>
    <xf numFmtId="0" fontId="17" fillId="0" borderId="0" xfId="1345" applyFont="1" applyAlignment="1">
      <alignment horizontal="center"/>
      <protection/>
    </xf>
    <xf numFmtId="0" fontId="84" fillId="0" borderId="0" xfId="0" applyFont="1" applyAlignment="1">
      <alignment/>
    </xf>
    <xf numFmtId="0" fontId="32" fillId="0" borderId="0" xfId="1345" applyFont="1" applyAlignment="1">
      <alignment horizontal="center"/>
      <protection/>
    </xf>
    <xf numFmtId="0" fontId="32" fillId="0" borderId="0" xfId="0" applyFont="1" applyFill="1" applyAlignment="1">
      <alignment/>
    </xf>
    <xf numFmtId="0" fontId="84" fillId="0" borderId="0" xfId="1345" applyFont="1" applyAlignment="1">
      <alignment horizontal="center"/>
      <protection/>
    </xf>
    <xf numFmtId="0" fontId="32" fillId="0" borderId="0" xfId="0" applyFont="1" applyAlignment="1">
      <alignment/>
    </xf>
    <xf numFmtId="0" fontId="70" fillId="0" borderId="0" xfId="0" applyFont="1" applyFill="1" applyAlignment="1">
      <alignment horizontal="center"/>
    </xf>
    <xf numFmtId="0" fontId="83" fillId="0" borderId="0" xfId="0" applyFont="1" applyFill="1" applyAlignment="1">
      <alignment/>
    </xf>
    <xf numFmtId="43" fontId="22" fillId="0" borderId="83" xfId="1176" applyFont="1" applyFill="1" applyBorder="1" applyAlignment="1">
      <alignment/>
    </xf>
    <xf numFmtId="43" fontId="22" fillId="0" borderId="28" xfId="1176" applyFont="1" applyFill="1" applyBorder="1" applyAlignment="1">
      <alignment/>
    </xf>
    <xf numFmtId="43" fontId="22" fillId="0" borderId="28" xfId="1176" applyFont="1" applyBorder="1" applyAlignment="1">
      <alignment/>
    </xf>
    <xf numFmtId="43" fontId="17" fillId="0" borderId="79" xfId="1176" applyFont="1" applyFill="1" applyBorder="1" applyAlignment="1">
      <alignment/>
    </xf>
    <xf numFmtId="43" fontId="17" fillId="0" borderId="0" xfId="1176" applyFont="1" applyFill="1" applyBorder="1" applyAlignment="1">
      <alignment/>
    </xf>
    <xf numFmtId="0" fontId="71" fillId="0" borderId="80" xfId="0" applyFont="1" applyBorder="1" applyAlignment="1">
      <alignment horizontal="left" vertical="center" wrapText="1"/>
    </xf>
    <xf numFmtId="43" fontId="11" fillId="0" borderId="0" xfId="0" applyNumberFormat="1" applyFont="1" applyFill="1" applyAlignment="1">
      <alignment horizontal="center"/>
    </xf>
    <xf numFmtId="0" fontId="0" fillId="35" borderId="0" xfId="0" applyFill="1" applyAlignment="1">
      <alignment/>
    </xf>
    <xf numFmtId="43" fontId="26" fillId="57" borderId="0" xfId="18" applyFont="1" applyFill="1" applyBorder="1" applyAlignment="1">
      <alignment horizontal="center"/>
    </xf>
    <xf numFmtId="43" fontId="2" fillId="55" borderId="0" xfId="18" applyFont="1" applyFill="1" applyAlignment="1">
      <alignment/>
    </xf>
    <xf numFmtId="43" fontId="2" fillId="55" borderId="0" xfId="1176" applyFont="1" applyFill="1" applyBorder="1" applyAlignment="1">
      <alignment/>
    </xf>
    <xf numFmtId="43" fontId="2" fillId="55" borderId="0" xfId="1176" applyFont="1" applyFill="1" applyAlignment="1">
      <alignment/>
    </xf>
    <xf numFmtId="43" fontId="2" fillId="55" borderId="0" xfId="1176" applyFont="1" applyFill="1" applyAlignment="1">
      <alignment horizontal="center"/>
    </xf>
    <xf numFmtId="43" fontId="2" fillId="0" borderId="0" xfId="1176" applyFont="1" applyFill="1" applyBorder="1" applyAlignment="1">
      <alignment/>
    </xf>
    <xf numFmtId="43" fontId="2" fillId="0" borderId="0" xfId="1176" applyFont="1" applyFill="1" applyAlignment="1">
      <alignment horizontal="center"/>
    </xf>
    <xf numFmtId="43" fontId="0" fillId="0" borderId="0" xfId="1176" applyFont="1" applyFill="1" applyAlignment="1">
      <alignment/>
    </xf>
    <xf numFmtId="43" fontId="2" fillId="0" borderId="0" xfId="18" applyFont="1" applyFill="1" applyBorder="1" applyAlignment="1">
      <alignment/>
    </xf>
    <xf numFmtId="43" fontId="2" fillId="0" borderId="0" xfId="0" applyNumberFormat="1" applyFont="1" applyFill="1" applyBorder="1" applyAlignment="1">
      <alignment/>
    </xf>
    <xf numFmtId="43" fontId="2" fillId="55" borderId="24" xfId="1176" applyFont="1" applyFill="1" applyBorder="1" applyAlignment="1">
      <alignment/>
    </xf>
    <xf numFmtId="192" fontId="11" fillId="56" borderId="0" xfId="18" applyNumberFormat="1" applyFont="1" applyFill="1" applyAlignment="1">
      <alignment horizontal="center"/>
    </xf>
    <xf numFmtId="192" fontId="11" fillId="55" borderId="0" xfId="18" applyNumberFormat="1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192" fontId="11" fillId="55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left"/>
    </xf>
    <xf numFmtId="0" fontId="85" fillId="0" borderId="0" xfId="0" applyFont="1" applyFill="1" applyAlignment="1">
      <alignment/>
    </xf>
    <xf numFmtId="43" fontId="32" fillId="0" borderId="0" xfId="18" applyFont="1" applyFill="1" applyAlignment="1">
      <alignment/>
    </xf>
    <xf numFmtId="43" fontId="32" fillId="0" borderId="0" xfId="18" applyFont="1" applyFill="1" applyBorder="1" applyAlignment="1">
      <alignment/>
    </xf>
    <xf numFmtId="171" fontId="32" fillId="0" borderId="0" xfId="0" applyNumberFormat="1" applyFont="1" applyFill="1" applyAlignment="1">
      <alignment/>
    </xf>
    <xf numFmtId="43" fontId="32" fillId="0" borderId="0" xfId="0" applyNumberFormat="1" applyFont="1" applyFill="1" applyAlignment="1">
      <alignment/>
    </xf>
    <xf numFmtId="43" fontId="32" fillId="0" borderId="0" xfId="0" applyNumberFormat="1" applyFont="1" applyFill="1" applyBorder="1" applyAlignment="1">
      <alignment/>
    </xf>
    <xf numFmtId="0" fontId="8" fillId="6" borderId="45" xfId="0" applyFont="1" applyFill="1" applyBorder="1" applyAlignment="1">
      <alignment horizontal="center" vertical="center" wrapText="1"/>
    </xf>
    <xf numFmtId="0" fontId="8" fillId="6" borderId="60" xfId="0" applyFont="1" applyFill="1" applyBorder="1" applyAlignment="1">
      <alignment horizontal="center" vertical="center" wrapText="1"/>
    </xf>
    <xf numFmtId="0" fontId="82" fillId="0" borderId="0" xfId="0" applyFont="1" applyAlignment="1">
      <alignment horizontal="right"/>
    </xf>
    <xf numFmtId="0" fontId="8" fillId="57" borderId="45" xfId="0" applyFont="1" applyFill="1" applyBorder="1" applyAlignment="1">
      <alignment horizontal="center" vertical="center" wrapText="1"/>
    </xf>
    <xf numFmtId="0" fontId="8" fillId="57" borderId="60" xfId="0" applyFont="1" applyFill="1" applyBorder="1" applyAlignment="1">
      <alignment horizontal="center" vertical="center" wrapText="1"/>
    </xf>
    <xf numFmtId="171" fontId="22" fillId="0" borderId="35" xfId="1202" applyNumberFormat="1" applyFont="1" applyBorder="1" applyAlignment="1">
      <alignment/>
    </xf>
    <xf numFmtId="171" fontId="8" fillId="57" borderId="35" xfId="0" applyNumberFormat="1" applyFont="1" applyFill="1" applyBorder="1" applyAlignment="1">
      <alignment horizontal="center" vertical="justify"/>
    </xf>
    <xf numFmtId="192" fontId="8" fillId="0" borderId="35" xfId="18" applyNumberFormat="1" applyFont="1" applyFill="1" applyBorder="1" applyAlignment="1">
      <alignment horizontal="center" vertical="justify"/>
    </xf>
    <xf numFmtId="49" fontId="8" fillId="0" borderId="89" xfId="0" applyNumberFormat="1" applyFont="1" applyFill="1" applyBorder="1" applyAlignment="1">
      <alignment horizontal="left" wrapText="1"/>
    </xf>
    <xf numFmtId="49" fontId="11" fillId="0" borderId="34" xfId="0" applyNumberFormat="1" applyFont="1" applyBorder="1" applyAlignment="1">
      <alignment horizontal="left" wrapText="1"/>
    </xf>
    <xf numFmtId="0" fontId="11" fillId="0" borderId="24" xfId="0" applyFont="1" applyBorder="1" applyAlignment="1">
      <alignment horizontal="center" vertical="center"/>
    </xf>
    <xf numFmtId="0" fontId="32" fillId="0" borderId="84" xfId="1345" applyFont="1" applyBorder="1" applyAlignment="1">
      <alignment horizontal="center"/>
      <protection/>
    </xf>
    <xf numFmtId="43" fontId="10" fillId="54" borderId="24" xfId="1176" applyFont="1" applyFill="1" applyBorder="1" applyAlignment="1">
      <alignment/>
    </xf>
    <xf numFmtId="43" fontId="11" fillId="0" borderId="24" xfId="18" applyFont="1" applyBorder="1" applyAlignment="1">
      <alignment/>
    </xf>
    <xf numFmtId="43" fontId="10" fillId="54" borderId="0" xfId="1176" applyFont="1" applyFill="1" applyBorder="1" applyAlignment="1">
      <alignment/>
    </xf>
    <xf numFmtId="0" fontId="34" fillId="41" borderId="0" xfId="0" applyFont="1" applyFill="1" applyAlignment="1">
      <alignment/>
    </xf>
    <xf numFmtId="0" fontId="40" fillId="41" borderId="0" xfId="0" applyFont="1" applyFill="1" applyAlignment="1">
      <alignment/>
    </xf>
    <xf numFmtId="0" fontId="74" fillId="41" borderId="0" xfId="0" applyFont="1" applyFill="1" applyAlignment="1">
      <alignment/>
    </xf>
    <xf numFmtId="0" fontId="0" fillId="54" borderId="0" xfId="0" applyFill="1" applyBorder="1" applyAlignment="1">
      <alignment/>
    </xf>
    <xf numFmtId="0" fontId="82" fillId="54" borderId="0" xfId="0" applyNumberFormat="1" applyFont="1" applyFill="1" applyBorder="1" applyAlignment="1">
      <alignment horizontal="right"/>
    </xf>
    <xf numFmtId="4" fontId="82" fillId="54" borderId="0" xfId="0" applyNumberFormat="1" applyFont="1" applyFill="1" applyBorder="1" applyAlignment="1">
      <alignment horizontal="right"/>
    </xf>
    <xf numFmtId="43" fontId="10" fillId="54" borderId="0" xfId="18" applyFont="1" applyFill="1" applyBorder="1" applyAlignment="1">
      <alignment/>
    </xf>
    <xf numFmtId="43" fontId="91" fillId="54" borderId="0" xfId="18" applyFont="1" applyFill="1" applyBorder="1" applyAlignment="1">
      <alignment/>
    </xf>
    <xf numFmtId="43" fontId="4" fillId="0" borderId="0" xfId="0" applyNumberFormat="1" applyFont="1" applyFill="1" applyBorder="1" applyAlignment="1">
      <alignment/>
    </xf>
    <xf numFmtId="43" fontId="17" fillId="54" borderId="0" xfId="18" applyFont="1" applyFill="1" applyBorder="1" applyAlignment="1">
      <alignment/>
    </xf>
    <xf numFmtId="43" fontId="10" fillId="0" borderId="35" xfId="1245" applyFont="1" applyBorder="1" applyAlignment="1">
      <alignment/>
    </xf>
    <xf numFmtId="0" fontId="75" fillId="0" borderId="0" xfId="0" applyNumberFormat="1" applyFont="1" applyFill="1" applyBorder="1" applyAlignment="1">
      <alignment horizontal="center"/>
    </xf>
    <xf numFmtId="49" fontId="75" fillId="0" borderId="0" xfId="0" applyNumberFormat="1" applyFont="1" applyBorder="1" applyAlignment="1">
      <alignment wrapText="1"/>
    </xf>
    <xf numFmtId="0" fontId="11" fillId="0" borderId="90" xfId="0" applyFont="1" applyBorder="1" applyAlignment="1">
      <alignment horizontal="center" vertical="justify"/>
    </xf>
    <xf numFmtId="43" fontId="8" fillId="0" borderId="34" xfId="1176" applyFont="1" applyFill="1" applyBorder="1" applyAlignment="1">
      <alignment/>
    </xf>
    <xf numFmtId="43" fontId="8" fillId="57" borderId="80" xfId="1176" applyFont="1" applyFill="1" applyBorder="1" applyAlignment="1">
      <alignment/>
    </xf>
    <xf numFmtId="43" fontId="8" fillId="0" borderId="31" xfId="1176" applyFont="1" applyFill="1" applyBorder="1" applyAlignment="1">
      <alignment/>
    </xf>
    <xf numFmtId="43" fontId="8" fillId="57" borderId="31" xfId="1176" applyFont="1" applyFill="1" applyBorder="1" applyAlignment="1">
      <alignment/>
    </xf>
    <xf numFmtId="43" fontId="8" fillId="57" borderId="67" xfId="1176" applyFont="1" applyFill="1" applyBorder="1" applyAlignment="1">
      <alignment/>
    </xf>
    <xf numFmtId="43" fontId="8" fillId="0" borderId="82" xfId="1176" applyFont="1" applyFill="1" applyBorder="1" applyAlignment="1">
      <alignment/>
    </xf>
    <xf numFmtId="0" fontId="4" fillId="0" borderId="84" xfId="0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86" fillId="54" borderId="24" xfId="0" applyFont="1" applyFill="1" applyBorder="1" applyAlignment="1">
      <alignment horizontal="left" wrapText="1"/>
    </xf>
    <xf numFmtId="0" fontId="82" fillId="0" borderId="0" xfId="0" applyFont="1" applyAlignment="1">
      <alignment horizontal="left"/>
    </xf>
    <xf numFmtId="4" fontId="82" fillId="0" borderId="24" xfId="0" applyNumberFormat="1" applyFont="1" applyBorder="1" applyAlignment="1">
      <alignment horizontal="right"/>
    </xf>
    <xf numFmtId="4" fontId="10" fillId="54" borderId="0" xfId="0" applyNumberFormat="1" applyFont="1" applyFill="1" applyBorder="1" applyAlignment="1">
      <alignment horizontal="right"/>
    </xf>
    <xf numFmtId="0" fontId="10" fillId="54" borderId="0" xfId="0" applyNumberFormat="1" applyFont="1" applyFill="1" applyBorder="1" applyAlignment="1">
      <alignment horizontal="right"/>
    </xf>
    <xf numFmtId="0" fontId="86" fillId="54" borderId="64" xfId="0" applyFont="1" applyFill="1" applyBorder="1" applyAlignment="1">
      <alignment horizontal="left" wrapText="1"/>
    </xf>
    <xf numFmtId="4" fontId="92" fillId="0" borderId="24" xfId="0" applyNumberFormat="1" applyFont="1" applyBorder="1" applyAlignment="1">
      <alignment horizontal="right"/>
    </xf>
    <xf numFmtId="43" fontId="11" fillId="54" borderId="24" xfId="18" applyFont="1" applyFill="1" applyBorder="1" applyAlignment="1">
      <alignment horizontal="right"/>
    </xf>
    <xf numFmtId="43" fontId="75" fillId="0" borderId="0" xfId="1175" applyFont="1" applyFill="1" applyBorder="1" applyAlignment="1">
      <alignment/>
    </xf>
    <xf numFmtId="0" fontId="11" fillId="0" borderId="20" xfId="0" applyFont="1" applyBorder="1" applyAlignment="1">
      <alignment horizontal="center" vertical="justify"/>
    </xf>
    <xf numFmtId="0" fontId="4" fillId="58" borderId="45" xfId="0" applyFont="1" applyFill="1" applyBorder="1" applyAlignment="1">
      <alignment horizontal="center" vertical="justify"/>
    </xf>
    <xf numFmtId="43" fontId="17" fillId="0" borderId="31" xfId="0" applyNumberFormat="1" applyFont="1" applyFill="1" applyBorder="1" applyAlignment="1">
      <alignment/>
    </xf>
    <xf numFmtId="43" fontId="17" fillId="54" borderId="24" xfId="1244" applyFont="1" applyFill="1" applyBorder="1" applyAlignment="1">
      <alignment/>
    </xf>
    <xf numFmtId="43" fontId="17" fillId="54" borderId="24" xfId="18" applyFont="1" applyFill="1" applyBorder="1" applyAlignment="1">
      <alignment/>
    </xf>
    <xf numFmtId="43" fontId="10" fillId="0" borderId="24" xfId="1176" applyFont="1" applyFill="1" applyBorder="1" applyAlignment="1">
      <alignment/>
    </xf>
    <xf numFmtId="43" fontId="10" fillId="0" borderId="52" xfId="18" applyFont="1" applyBorder="1" applyAlignment="1">
      <alignment horizontal="right"/>
    </xf>
    <xf numFmtId="0" fontId="82" fillId="38" borderId="0" xfId="0" applyNumberFormat="1" applyFont="1" applyFill="1" applyAlignment="1">
      <alignment horizontal="right"/>
    </xf>
    <xf numFmtId="49" fontId="8" fillId="54" borderId="0" xfId="0" applyNumberFormat="1" applyFont="1" applyFill="1" applyBorder="1" applyAlignment="1">
      <alignment horizontal="center" wrapText="1"/>
    </xf>
    <xf numFmtId="0" fontId="0" fillId="0" borderId="24" xfId="0" applyBorder="1" applyAlignment="1">
      <alignment/>
    </xf>
    <xf numFmtId="43" fontId="17" fillId="0" borderId="84" xfId="1176" applyFont="1" applyFill="1" applyBorder="1" applyAlignment="1">
      <alignment/>
    </xf>
    <xf numFmtId="43" fontId="10" fillId="0" borderId="35" xfId="1245" applyFont="1" applyBorder="1" applyAlignment="1">
      <alignment horizontal="right"/>
    </xf>
    <xf numFmtId="192" fontId="11" fillId="4" borderId="24" xfId="0" applyNumberFormat="1" applyFont="1" applyFill="1" applyBorder="1" applyAlignment="1">
      <alignment horizontal="center"/>
    </xf>
    <xf numFmtId="0" fontId="82" fillId="54" borderId="0" xfId="0" applyNumberFormat="1" applyFont="1" applyFill="1" applyAlignment="1">
      <alignment horizontal="right"/>
    </xf>
    <xf numFmtId="192" fontId="11" fillId="56" borderId="0" xfId="1176" applyNumberFormat="1" applyFont="1" applyFill="1" applyAlignment="1">
      <alignment horizontal="center"/>
    </xf>
    <xf numFmtId="43" fontId="0" fillId="0" borderId="0" xfId="1176" applyFont="1" applyAlignment="1">
      <alignment/>
    </xf>
    <xf numFmtId="0" fontId="39" fillId="41" borderId="0" xfId="0" applyFont="1" applyFill="1" applyBorder="1" applyAlignment="1">
      <alignment horizontal="left"/>
    </xf>
    <xf numFmtId="43" fontId="11" fillId="51" borderId="39" xfId="1176" applyFont="1" applyFill="1" applyBorder="1" applyAlignment="1">
      <alignment/>
    </xf>
    <xf numFmtId="171" fontId="11" fillId="0" borderId="24" xfId="0" applyNumberFormat="1" applyFont="1" applyBorder="1" applyAlignment="1">
      <alignment vertical="center"/>
    </xf>
    <xf numFmtId="0" fontId="0" fillId="54" borderId="0" xfId="0" applyFill="1" applyAlignment="1">
      <alignment/>
    </xf>
    <xf numFmtId="0" fontId="8" fillId="6" borderId="47" xfId="0" applyFont="1" applyFill="1" applyBorder="1" applyAlignment="1">
      <alignment horizontal="center" vertical="center" wrapText="1"/>
    </xf>
    <xf numFmtId="43" fontId="22" fillId="0" borderId="51" xfId="18" applyFont="1" applyFill="1" applyBorder="1" applyAlignment="1">
      <alignment/>
    </xf>
    <xf numFmtId="43" fontId="22" fillId="0" borderId="51" xfId="18" applyFont="1" applyBorder="1" applyAlignment="1">
      <alignment/>
    </xf>
    <xf numFmtId="0" fontId="8" fillId="0" borderId="44" xfId="0" applyFont="1" applyFill="1" applyBorder="1" applyAlignment="1">
      <alignment/>
    </xf>
    <xf numFmtId="0" fontId="8" fillId="57" borderId="49" xfId="0" applyFont="1" applyFill="1" applyBorder="1" applyAlignment="1">
      <alignment/>
    </xf>
    <xf numFmtId="0" fontId="22" fillId="57" borderId="65" xfId="0" applyFont="1" applyFill="1" applyBorder="1" applyAlignment="1">
      <alignment/>
    </xf>
    <xf numFmtId="0" fontId="8" fillId="7" borderId="65" xfId="1331" applyFont="1" applyFill="1" applyBorder="1" applyAlignment="1">
      <alignment horizontal="center" vertical="center" wrapText="1"/>
      <protection/>
    </xf>
    <xf numFmtId="0" fontId="8" fillId="6" borderId="25" xfId="0" applyFont="1" applyFill="1" applyBorder="1" applyAlignment="1">
      <alignment horizontal="center" vertical="center" wrapText="1"/>
    </xf>
    <xf numFmtId="43" fontId="22" fillId="0" borderId="34" xfId="18" applyFont="1" applyFill="1" applyBorder="1" applyAlignment="1">
      <alignment/>
    </xf>
    <xf numFmtId="43" fontId="22" fillId="0" borderId="25" xfId="18" applyFont="1" applyFill="1" applyBorder="1" applyAlignment="1">
      <alignment/>
    </xf>
    <xf numFmtId="43" fontId="22" fillId="0" borderId="23" xfId="18" applyFont="1" applyFill="1" applyBorder="1" applyAlignment="1">
      <alignment/>
    </xf>
    <xf numFmtId="43" fontId="22" fillId="57" borderId="27" xfId="18" applyFont="1" applyFill="1" applyBorder="1" applyAlignment="1">
      <alignment/>
    </xf>
    <xf numFmtId="0" fontId="22" fillId="57" borderId="27" xfId="0" applyFont="1" applyFill="1" applyBorder="1" applyAlignment="1">
      <alignment/>
    </xf>
    <xf numFmtId="171" fontId="22" fillId="0" borderId="70" xfId="1202" applyNumberFormat="1" applyFont="1" applyBorder="1" applyAlignment="1">
      <alignment/>
    </xf>
    <xf numFmtId="43" fontId="22" fillId="0" borderId="91" xfId="18" applyFont="1" applyFill="1" applyBorder="1" applyAlignment="1">
      <alignment/>
    </xf>
    <xf numFmtId="0" fontId="8" fillId="0" borderId="46" xfId="0" applyFont="1" applyFill="1" applyBorder="1" applyAlignment="1">
      <alignment/>
    </xf>
    <xf numFmtId="43" fontId="10" fillId="0" borderId="92" xfId="1176" applyFont="1" applyFill="1" applyBorder="1" applyAlignment="1">
      <alignment/>
    </xf>
    <xf numFmtId="43" fontId="10" fillId="0" borderId="87" xfId="1176" applyFont="1" applyFill="1" applyBorder="1" applyAlignment="1">
      <alignment/>
    </xf>
    <xf numFmtId="12" fontId="10" fillId="0" borderId="0" xfId="18" applyNumberFormat="1" applyFont="1" applyAlignment="1">
      <alignment/>
    </xf>
    <xf numFmtId="4" fontId="82" fillId="54" borderId="0" xfId="0" applyNumberFormat="1" applyFont="1" applyFill="1" applyBorder="1" applyAlignment="1">
      <alignment horizontal="center"/>
    </xf>
    <xf numFmtId="0" fontId="82" fillId="54" borderId="0" xfId="0" applyNumberFormat="1" applyFont="1" applyFill="1" applyBorder="1" applyAlignment="1">
      <alignment horizontal="center"/>
    </xf>
    <xf numFmtId="43" fontId="22" fillId="54" borderId="24" xfId="18" applyFont="1" applyFill="1" applyBorder="1" applyAlignment="1">
      <alignment/>
    </xf>
    <xf numFmtId="43" fontId="0" fillId="0" borderId="0" xfId="0" applyNumberFormat="1" applyFill="1" applyAlignment="1">
      <alignment/>
    </xf>
    <xf numFmtId="0" fontId="75" fillId="54" borderId="0" xfId="0" applyFont="1" applyFill="1" applyBorder="1" applyAlignment="1">
      <alignment wrapText="1"/>
    </xf>
    <xf numFmtId="43" fontId="17" fillId="54" borderId="93" xfId="18" applyFont="1" applyFill="1" applyBorder="1" applyAlignment="1">
      <alignment/>
    </xf>
    <xf numFmtId="43" fontId="17" fillId="0" borderId="93" xfId="18" applyFont="1" applyFill="1" applyBorder="1" applyAlignment="1">
      <alignment/>
    </xf>
    <xf numFmtId="0" fontId="8" fillId="6" borderId="62" xfId="0" applyFont="1" applyFill="1" applyBorder="1" applyAlignment="1">
      <alignment horizontal="center" vertical="center" wrapText="1"/>
    </xf>
    <xf numFmtId="0" fontId="8" fillId="6" borderId="33" xfId="0" applyFont="1" applyFill="1" applyBorder="1" applyAlignment="1">
      <alignment horizontal="center" vertical="center" wrapText="1"/>
    </xf>
    <xf numFmtId="0" fontId="8" fillId="6" borderId="73" xfId="0" applyFont="1" applyFill="1" applyBorder="1" applyAlignment="1">
      <alignment horizontal="center" vertical="center" wrapText="1"/>
    </xf>
    <xf numFmtId="0" fontId="8" fillId="54" borderId="46" xfId="0" applyFont="1" applyFill="1" applyBorder="1" applyAlignment="1">
      <alignment/>
    </xf>
    <xf numFmtId="0" fontId="8" fillId="57" borderId="90" xfId="0" applyFont="1" applyFill="1" applyBorder="1" applyAlignment="1">
      <alignment/>
    </xf>
    <xf numFmtId="43" fontId="22" fillId="0" borderId="94" xfId="18" applyFont="1" applyFill="1" applyBorder="1" applyAlignment="1">
      <alignment/>
    </xf>
    <xf numFmtId="43" fontId="22" fillId="54" borderId="35" xfId="18" applyFont="1" applyFill="1" applyBorder="1" applyAlignment="1">
      <alignment/>
    </xf>
    <xf numFmtId="43" fontId="22" fillId="0" borderId="95" xfId="18" applyFont="1" applyFill="1" applyBorder="1" applyAlignment="1">
      <alignment/>
    </xf>
    <xf numFmtId="0" fontId="8" fillId="0" borderId="35" xfId="0" applyNumberFormat="1" applyFont="1" applyFill="1" applyBorder="1" applyAlignment="1">
      <alignment horizontal="center"/>
    </xf>
    <xf numFmtId="49" fontId="8" fillId="0" borderId="34" xfId="0" applyNumberFormat="1" applyFont="1" applyFill="1" applyBorder="1" applyAlignment="1">
      <alignment horizontal="center"/>
    </xf>
    <xf numFmtId="43" fontId="22" fillId="54" borderId="70" xfId="18" applyFont="1" applyFill="1" applyBorder="1" applyAlignment="1">
      <alignment/>
    </xf>
    <xf numFmtId="43" fontId="22" fillId="57" borderId="70" xfId="18" applyFont="1" applyFill="1" applyBorder="1" applyAlignment="1">
      <alignment/>
    </xf>
    <xf numFmtId="49" fontId="75" fillId="0" borderId="68" xfId="0" applyNumberFormat="1" applyFont="1" applyBorder="1" applyAlignment="1">
      <alignment wrapText="1"/>
    </xf>
    <xf numFmtId="0" fontId="75" fillId="0" borderId="70" xfId="0" applyNumberFormat="1" applyFont="1" applyFill="1" applyBorder="1" applyAlignment="1">
      <alignment horizontal="center"/>
    </xf>
    <xf numFmtId="49" fontId="75" fillId="0" borderId="96" xfId="0" applyNumberFormat="1" applyFont="1" applyFill="1" applyBorder="1" applyAlignment="1">
      <alignment horizontal="center"/>
    </xf>
    <xf numFmtId="49" fontId="75" fillId="0" borderId="23" xfId="0" applyNumberFormat="1" applyFont="1" applyFill="1" applyBorder="1" applyAlignment="1">
      <alignment horizontal="center"/>
    </xf>
    <xf numFmtId="49" fontId="75" fillId="0" borderId="34" xfId="0" applyNumberFormat="1" applyFont="1" applyFill="1" applyBorder="1" applyAlignment="1">
      <alignment horizontal="center"/>
    </xf>
    <xf numFmtId="49" fontId="8" fillId="0" borderId="23" xfId="0" applyNumberFormat="1" applyFont="1" applyFill="1" applyBorder="1" applyAlignment="1">
      <alignment horizontal="center"/>
    </xf>
    <xf numFmtId="43" fontId="22" fillId="57" borderId="52" xfId="18" applyFont="1" applyFill="1" applyBorder="1" applyAlignment="1">
      <alignment/>
    </xf>
    <xf numFmtId="0" fontId="8" fillId="57" borderId="49" xfId="0" applyFont="1" applyFill="1" applyBorder="1" applyAlignment="1">
      <alignment horizontal="center"/>
    </xf>
    <xf numFmtId="43" fontId="10" fillId="0" borderId="0" xfId="1245" applyFont="1" applyBorder="1" applyAlignment="1">
      <alignment/>
    </xf>
    <xf numFmtId="49" fontId="11" fillId="0" borderId="24" xfId="0" applyNumberFormat="1" applyFont="1" applyBorder="1" applyAlignment="1">
      <alignment horizontal="center"/>
    </xf>
    <xf numFmtId="0" fontId="0" fillId="56" borderId="0" xfId="0" applyFill="1" applyAlignment="1">
      <alignment/>
    </xf>
    <xf numFmtId="43" fontId="17" fillId="54" borderId="24" xfId="1245" applyFont="1" applyFill="1" applyBorder="1" applyAlignment="1">
      <alignment/>
    </xf>
    <xf numFmtId="43" fontId="10" fillId="0" borderId="0" xfId="0" applyNumberFormat="1" applyFont="1" applyAlignment="1">
      <alignment horizontal="center" vertical="center" wrapText="1"/>
    </xf>
    <xf numFmtId="16" fontId="25" fillId="0" borderId="0" xfId="0" applyNumberFormat="1" applyFont="1" applyAlignment="1">
      <alignment/>
    </xf>
    <xf numFmtId="43" fontId="10" fillId="0" borderId="24" xfId="1212" applyFont="1" applyBorder="1" applyAlignment="1">
      <alignment/>
    </xf>
    <xf numFmtId="43" fontId="10" fillId="54" borderId="24" xfId="1212" applyFont="1" applyFill="1" applyBorder="1" applyAlignment="1">
      <alignment/>
    </xf>
    <xf numFmtId="43" fontId="10" fillId="0" borderId="37" xfId="1212" applyFont="1" applyBorder="1" applyAlignment="1">
      <alignment/>
    </xf>
    <xf numFmtId="43" fontId="10" fillId="54" borderId="37" xfId="1212" applyFont="1" applyFill="1" applyBorder="1" applyAlignment="1">
      <alignment/>
    </xf>
    <xf numFmtId="43" fontId="10" fillId="54" borderId="24" xfId="1245" applyFont="1" applyFill="1" applyBorder="1" applyAlignment="1">
      <alignment/>
    </xf>
    <xf numFmtId="43" fontId="10" fillId="54" borderId="35" xfId="1245" applyFont="1" applyFill="1" applyBorder="1" applyAlignment="1">
      <alignment/>
    </xf>
    <xf numFmtId="43" fontId="10" fillId="54" borderId="37" xfId="1176" applyFont="1" applyFill="1" applyBorder="1" applyAlignment="1">
      <alignment/>
    </xf>
    <xf numFmtId="43" fontId="3" fillId="16" borderId="61" xfId="1212" applyFont="1" applyFill="1" applyBorder="1" applyAlignment="1">
      <alignment/>
    </xf>
    <xf numFmtId="43" fontId="11" fillId="16" borderId="42" xfId="1212" applyFont="1" applyFill="1" applyBorder="1" applyAlignment="1">
      <alignment/>
    </xf>
    <xf numFmtId="0" fontId="2" fillId="56" borderId="0" xfId="0" applyFont="1" applyFill="1" applyAlignment="1">
      <alignment/>
    </xf>
    <xf numFmtId="43" fontId="2" fillId="0" borderId="0" xfId="18" applyFont="1" applyAlignment="1">
      <alignment/>
    </xf>
    <xf numFmtId="43" fontId="2" fillId="0" borderId="0" xfId="18" applyFont="1" applyFill="1" applyAlignment="1">
      <alignment/>
    </xf>
    <xf numFmtId="43" fontId="2" fillId="0" borderId="0" xfId="1176" applyFont="1" applyAlignment="1">
      <alignment/>
    </xf>
    <xf numFmtId="180" fontId="82" fillId="0" borderId="0" xfId="0" applyNumberFormat="1" applyFont="1" applyAlignment="1">
      <alignment horizontal="left"/>
    </xf>
    <xf numFmtId="43" fontId="22" fillId="0" borderId="24" xfId="1176" applyFont="1" applyFill="1" applyBorder="1" applyAlignment="1">
      <alignment horizontal="center"/>
    </xf>
    <xf numFmtId="43" fontId="75" fillId="0" borderId="51" xfId="1176" applyFont="1" applyBorder="1" applyAlignment="1">
      <alignment/>
    </xf>
    <xf numFmtId="43" fontId="75" fillId="0" borderId="24" xfId="1176" applyFont="1" applyFill="1" applyBorder="1" applyAlignment="1">
      <alignment horizontal="center" vertical="justify"/>
    </xf>
    <xf numFmtId="43" fontId="76" fillId="0" borderId="35" xfId="1176" applyFont="1" applyFill="1" applyBorder="1" applyAlignment="1">
      <alignment/>
    </xf>
    <xf numFmtId="43" fontId="76" fillId="0" borderId="24" xfId="1176" applyFont="1" applyFill="1" applyBorder="1" applyAlignment="1">
      <alignment/>
    </xf>
    <xf numFmtId="43" fontId="76" fillId="0" borderId="70" xfId="1176" applyFont="1" applyFill="1" applyBorder="1" applyAlignment="1">
      <alignment/>
    </xf>
    <xf numFmtId="43" fontId="76" fillId="0" borderId="25" xfId="1176" applyFont="1" applyFill="1" applyBorder="1" applyAlignment="1">
      <alignment/>
    </xf>
    <xf numFmtId="43" fontId="76" fillId="0" borderId="91" xfId="1176" applyFont="1" applyFill="1" applyBorder="1" applyAlignment="1">
      <alignment/>
    </xf>
    <xf numFmtId="180" fontId="82" fillId="38" borderId="0" xfId="0" applyNumberFormat="1" applyFont="1" applyFill="1" applyAlignment="1">
      <alignment horizontal="left"/>
    </xf>
    <xf numFmtId="0" fontId="82" fillId="38" borderId="0" xfId="0" applyNumberFormat="1" applyFont="1" applyFill="1" applyAlignment="1">
      <alignment horizontal="left"/>
    </xf>
    <xf numFmtId="0" fontId="82" fillId="0" borderId="0" xfId="0" applyNumberFormat="1" applyFont="1" applyAlignment="1">
      <alignment horizontal="right"/>
    </xf>
    <xf numFmtId="4" fontId="82" fillId="0" borderId="0" xfId="0" applyNumberFormat="1" applyFont="1" applyAlignment="1">
      <alignment horizontal="right"/>
    </xf>
    <xf numFmtId="0" fontId="10" fillId="27" borderId="24" xfId="0" applyFont="1" applyFill="1" applyBorder="1" applyAlignment="1">
      <alignment horizontal="center"/>
    </xf>
    <xf numFmtId="0" fontId="82" fillId="54" borderId="24" xfId="0" applyNumberFormat="1" applyFont="1" applyFill="1" applyBorder="1" applyAlignment="1">
      <alignment horizontal="center"/>
    </xf>
    <xf numFmtId="0" fontId="82" fillId="54" borderId="52" xfId="0" applyNumberFormat="1" applyFont="1" applyFill="1" applyBorder="1" applyAlignment="1">
      <alignment horizontal="center"/>
    </xf>
    <xf numFmtId="4" fontId="82" fillId="54" borderId="24" xfId="0" applyNumberFormat="1" applyFont="1" applyFill="1" applyBorder="1" applyAlignment="1">
      <alignment horizontal="center"/>
    </xf>
    <xf numFmtId="0" fontId="82" fillId="54" borderId="24" xfId="0" applyFont="1" applyFill="1" applyBorder="1" applyAlignment="1">
      <alignment horizontal="left"/>
    </xf>
    <xf numFmtId="4" fontId="82" fillId="54" borderId="24" xfId="0" applyNumberFormat="1" applyFont="1" applyFill="1" applyBorder="1" applyAlignment="1">
      <alignment horizontal="center"/>
    </xf>
    <xf numFmtId="43" fontId="10" fillId="54" borderId="24" xfId="18" applyFont="1" applyFill="1" applyBorder="1" applyAlignment="1">
      <alignment horizontal="center"/>
    </xf>
    <xf numFmtId="43" fontId="10" fillId="54" borderId="24" xfId="1176" applyFont="1" applyFill="1" applyBorder="1" applyAlignment="1">
      <alignment horizontal="center"/>
    </xf>
    <xf numFmtId="0" fontId="82" fillId="54" borderId="24" xfId="0" applyFont="1" applyFill="1" applyBorder="1" applyAlignment="1">
      <alignment horizontal="center"/>
    </xf>
    <xf numFmtId="0" fontId="82" fillId="54" borderId="24" xfId="1331" applyFont="1" applyFill="1" applyBorder="1" applyAlignment="1">
      <alignment horizontal="center"/>
      <protection/>
    </xf>
    <xf numFmtId="0" fontId="82" fillId="54" borderId="52" xfId="0" applyFont="1" applyFill="1" applyBorder="1" applyAlignment="1">
      <alignment horizontal="right"/>
    </xf>
    <xf numFmtId="0" fontId="102" fillId="6" borderId="35" xfId="0" applyFont="1" applyFill="1" applyBorder="1" applyAlignment="1">
      <alignment horizontal="center" vertical="center" wrapText="1"/>
    </xf>
    <xf numFmtId="49" fontId="102" fillId="0" borderId="24" xfId="0" applyNumberFormat="1" applyFont="1" applyFill="1" applyBorder="1" applyAlignment="1">
      <alignment horizontal="center"/>
    </xf>
    <xf numFmtId="0" fontId="102" fillId="0" borderId="24" xfId="0" applyNumberFormat="1" applyFont="1" applyFill="1" applyBorder="1" applyAlignment="1">
      <alignment horizontal="center"/>
    </xf>
    <xf numFmtId="171" fontId="93" fillId="0" borderId="24" xfId="1202" applyNumberFormat="1" applyFont="1" applyBorder="1" applyAlignment="1">
      <alignment/>
    </xf>
    <xf numFmtId="49" fontId="102" fillId="0" borderId="37" xfId="0" applyNumberFormat="1" applyFont="1" applyFill="1" applyBorder="1" applyAlignment="1">
      <alignment wrapText="1"/>
    </xf>
    <xf numFmtId="49" fontId="102" fillId="0" borderId="37" xfId="0" applyNumberFormat="1" applyFont="1" applyBorder="1" applyAlignment="1">
      <alignment wrapText="1"/>
    </xf>
    <xf numFmtId="0" fontId="103" fillId="0" borderId="0" xfId="0" applyFont="1" applyAlignment="1">
      <alignment/>
    </xf>
    <xf numFmtId="0" fontId="102" fillId="0" borderId="0" xfId="0" applyFont="1" applyFill="1" applyAlignment="1">
      <alignment/>
    </xf>
    <xf numFmtId="0" fontId="102" fillId="0" borderId="0" xfId="0" applyNumberFormat="1" applyFont="1" applyFill="1" applyBorder="1" applyAlignment="1">
      <alignment horizontal="center"/>
    </xf>
    <xf numFmtId="43" fontId="104" fillId="0" borderId="0" xfId="1176" applyFont="1" applyFill="1" applyBorder="1" applyAlignment="1">
      <alignment/>
    </xf>
    <xf numFmtId="0" fontId="105" fillId="0" borderId="0" xfId="0" applyFont="1" applyAlignment="1">
      <alignment/>
    </xf>
    <xf numFmtId="43" fontId="103" fillId="0" borderId="0" xfId="0" applyNumberFormat="1" applyFont="1" applyAlignment="1">
      <alignment/>
    </xf>
    <xf numFmtId="0" fontId="106" fillId="0" borderId="0" xfId="0" applyFont="1" applyAlignment="1">
      <alignment/>
    </xf>
    <xf numFmtId="0" fontId="103" fillId="0" borderId="0" xfId="1345" applyFont="1">
      <alignment/>
      <protection/>
    </xf>
    <xf numFmtId="0" fontId="107" fillId="0" borderId="0" xfId="1335" applyFont="1">
      <alignment/>
      <protection/>
    </xf>
    <xf numFmtId="0" fontId="107" fillId="0" borderId="0" xfId="0" applyFont="1" applyAlignment="1">
      <alignment horizontal="left"/>
    </xf>
    <xf numFmtId="0" fontId="107" fillId="0" borderId="0" xfId="0" applyFont="1" applyAlignment="1">
      <alignment horizontal="right"/>
    </xf>
    <xf numFmtId="43" fontId="108" fillId="0" borderId="0" xfId="1202" applyFont="1" applyBorder="1" applyAlignment="1">
      <alignment horizontal="right"/>
    </xf>
    <xf numFmtId="177" fontId="109" fillId="0" borderId="0" xfId="0" applyNumberFormat="1" applyFont="1" applyAlignment="1">
      <alignment horizontal="left"/>
    </xf>
    <xf numFmtId="0" fontId="110" fillId="0" borderId="0" xfId="0" applyFont="1" applyAlignment="1">
      <alignment/>
    </xf>
    <xf numFmtId="0" fontId="111" fillId="0" borderId="0" xfId="1335" applyFont="1">
      <alignment/>
      <protection/>
    </xf>
    <xf numFmtId="196" fontId="108" fillId="0" borderId="0" xfId="0" applyNumberFormat="1" applyFont="1" applyBorder="1" applyAlignment="1">
      <alignment horizontal="right"/>
    </xf>
    <xf numFmtId="43" fontId="108" fillId="0" borderId="84" xfId="0" applyNumberFormat="1" applyFont="1" applyBorder="1" applyAlignment="1">
      <alignment horizontal="right"/>
    </xf>
    <xf numFmtId="43" fontId="108" fillId="0" borderId="0" xfId="0" applyNumberFormat="1" applyFont="1" applyBorder="1" applyAlignment="1">
      <alignment/>
    </xf>
    <xf numFmtId="0" fontId="111" fillId="0" borderId="0" xfId="0" applyFont="1" applyAlignment="1">
      <alignment/>
    </xf>
    <xf numFmtId="43" fontId="108" fillId="0" borderId="0" xfId="1202" applyFont="1" applyBorder="1" applyAlignment="1">
      <alignment/>
    </xf>
    <xf numFmtId="43" fontId="109" fillId="0" borderId="0" xfId="1202" applyFont="1" applyAlignment="1">
      <alignment horizontal="left"/>
    </xf>
    <xf numFmtId="43" fontId="110" fillId="0" borderId="0" xfId="0" applyNumberFormat="1" applyFont="1" applyAlignment="1">
      <alignment/>
    </xf>
    <xf numFmtId="196" fontId="108" fillId="0" borderId="0" xfId="0" applyNumberFormat="1" applyFont="1" applyBorder="1" applyAlignment="1">
      <alignment/>
    </xf>
    <xf numFmtId="0" fontId="112" fillId="0" borderId="0" xfId="0" applyFont="1" applyAlignment="1">
      <alignment/>
    </xf>
    <xf numFmtId="43" fontId="111" fillId="0" borderId="0" xfId="1202" applyFont="1" applyAlignment="1">
      <alignment horizontal="right"/>
    </xf>
    <xf numFmtId="43" fontId="108" fillId="0" borderId="84" xfId="1202" applyFont="1" applyBorder="1" applyAlignment="1">
      <alignment/>
    </xf>
    <xf numFmtId="196" fontId="108" fillId="0" borderId="79" xfId="0" applyNumberFormat="1" applyFont="1" applyBorder="1" applyAlignment="1">
      <alignment/>
    </xf>
    <xf numFmtId="43" fontId="109" fillId="0" borderId="0" xfId="1202" applyFont="1" applyBorder="1" applyAlignment="1">
      <alignment horizontal="left"/>
    </xf>
    <xf numFmtId="0" fontId="108" fillId="0" borderId="0" xfId="0" applyFont="1" applyAlignment="1">
      <alignment/>
    </xf>
    <xf numFmtId="43" fontId="108" fillId="0" borderId="0" xfId="0" applyNumberFormat="1" applyFont="1" applyBorder="1" applyAlignment="1">
      <alignment horizontal="right"/>
    </xf>
    <xf numFmtId="43" fontId="113" fillId="0" borderId="0" xfId="0" applyNumberFormat="1" applyFont="1" applyAlignment="1">
      <alignment/>
    </xf>
    <xf numFmtId="0" fontId="113" fillId="0" borderId="0" xfId="0" applyFont="1" applyAlignment="1">
      <alignment/>
    </xf>
    <xf numFmtId="0" fontId="114" fillId="0" borderId="0" xfId="0" applyFont="1" applyAlignment="1">
      <alignment/>
    </xf>
    <xf numFmtId="0" fontId="115" fillId="0" borderId="0" xfId="0" applyFont="1" applyFill="1" applyAlignment="1">
      <alignment horizontal="center"/>
    </xf>
    <xf numFmtId="0" fontId="102" fillId="7" borderId="26" xfId="0" applyFont="1" applyFill="1" applyBorder="1" applyAlignment="1">
      <alignment horizontal="center" vertical="center" wrapText="1"/>
    </xf>
    <xf numFmtId="0" fontId="102" fillId="57" borderId="76" xfId="0" applyFont="1" applyFill="1" applyBorder="1" applyAlignment="1">
      <alignment horizontal="center"/>
    </xf>
    <xf numFmtId="0" fontId="102" fillId="7" borderId="48" xfId="0" applyFont="1" applyFill="1" applyBorder="1" applyAlignment="1">
      <alignment horizontal="center" vertical="center" wrapText="1"/>
    </xf>
    <xf numFmtId="0" fontId="102" fillId="57" borderId="37" xfId="0" applyFont="1" applyFill="1" applyBorder="1" applyAlignment="1">
      <alignment horizontal="center" vertical="center" wrapText="1"/>
    </xf>
    <xf numFmtId="0" fontId="102" fillId="6" borderId="54" xfId="0" applyFont="1" applyFill="1" applyBorder="1" applyAlignment="1">
      <alignment horizontal="center" vertical="center" wrapText="1"/>
    </xf>
    <xf numFmtId="43" fontId="93" fillId="0" borderId="83" xfId="1176" applyFont="1" applyFill="1" applyBorder="1" applyAlignment="1">
      <alignment/>
    </xf>
    <xf numFmtId="0" fontId="102" fillId="0" borderId="36" xfId="0" applyFont="1" applyFill="1" applyBorder="1" applyAlignment="1">
      <alignment/>
    </xf>
    <xf numFmtId="43" fontId="93" fillId="0" borderId="83" xfId="1176" applyFont="1" applyFill="1" applyBorder="1" applyAlignment="1">
      <alignment horizontal="center"/>
    </xf>
    <xf numFmtId="43" fontId="93" fillId="57" borderId="37" xfId="1176" applyFont="1" applyFill="1" applyBorder="1" applyAlignment="1">
      <alignment horizontal="center"/>
    </xf>
    <xf numFmtId="171" fontId="102" fillId="0" borderId="35" xfId="0" applyNumberFormat="1" applyFont="1" applyFill="1" applyBorder="1" applyAlignment="1">
      <alignment horizontal="center" vertical="justify"/>
    </xf>
    <xf numFmtId="43" fontId="93" fillId="0" borderId="28" xfId="1176" applyFont="1" applyFill="1" applyBorder="1" applyAlignment="1">
      <alignment/>
    </xf>
    <xf numFmtId="43" fontId="93" fillId="0" borderId="28" xfId="1176" applyFont="1" applyFill="1" applyBorder="1" applyAlignment="1">
      <alignment horizontal="center"/>
    </xf>
    <xf numFmtId="43" fontId="93" fillId="0" borderId="28" xfId="1176" applyFont="1" applyBorder="1" applyAlignment="1">
      <alignment/>
    </xf>
    <xf numFmtId="43" fontId="93" fillId="0" borderId="28" xfId="1176" applyFont="1" applyBorder="1" applyAlignment="1">
      <alignment horizontal="center"/>
    </xf>
    <xf numFmtId="43" fontId="104" fillId="0" borderId="79" xfId="1176" applyFont="1" applyFill="1" applyBorder="1" applyAlignment="1">
      <alignment/>
    </xf>
    <xf numFmtId="0" fontId="116" fillId="0" borderId="0" xfId="0" applyFont="1" applyAlignment="1">
      <alignment horizontal="center"/>
    </xf>
    <xf numFmtId="0" fontId="117" fillId="0" borderId="0" xfId="0" applyFont="1" applyAlignment="1">
      <alignment/>
    </xf>
    <xf numFmtId="171" fontId="103" fillId="0" borderId="0" xfId="18" applyNumberFormat="1" applyFont="1" applyAlignment="1">
      <alignment/>
    </xf>
    <xf numFmtId="171" fontId="117" fillId="0" borderId="0" xfId="18" applyNumberFormat="1" applyFont="1" applyAlignment="1">
      <alignment horizontal="right"/>
    </xf>
    <xf numFmtId="4" fontId="103" fillId="0" borderId="0" xfId="18" applyNumberFormat="1" applyFont="1" applyAlignment="1">
      <alignment horizontal="right"/>
    </xf>
    <xf numFmtId="171" fontId="103" fillId="0" borderId="84" xfId="18" applyNumberFormat="1" applyFont="1" applyBorder="1" applyAlignment="1">
      <alignment/>
    </xf>
    <xf numFmtId="171" fontId="103" fillId="0" borderId="0" xfId="18" applyNumberFormat="1" applyFont="1" applyBorder="1" applyAlignment="1">
      <alignment/>
    </xf>
    <xf numFmtId="0" fontId="103" fillId="0" borderId="84" xfId="0" applyFont="1" applyBorder="1" applyAlignment="1">
      <alignment/>
    </xf>
    <xf numFmtId="0" fontId="105" fillId="0" borderId="0" xfId="0" applyFont="1" applyAlignment="1">
      <alignment horizontal="left"/>
    </xf>
    <xf numFmtId="171" fontId="118" fillId="0" borderId="61" xfId="0" applyNumberFormat="1" applyFont="1" applyBorder="1" applyAlignment="1">
      <alignment/>
    </xf>
    <xf numFmtId="171" fontId="118" fillId="0" borderId="0" xfId="0" applyNumberFormat="1" applyFont="1" applyBorder="1" applyAlignment="1">
      <alignment/>
    </xf>
    <xf numFmtId="0" fontId="103" fillId="0" borderId="0" xfId="0" applyFont="1" applyBorder="1" applyAlignment="1">
      <alignment/>
    </xf>
    <xf numFmtId="171" fontId="103" fillId="0" borderId="0" xfId="0" applyNumberFormat="1" applyFont="1" applyAlignment="1">
      <alignment/>
    </xf>
    <xf numFmtId="0" fontId="117" fillId="0" borderId="0" xfId="1345" applyFont="1" applyAlignment="1">
      <alignment horizontal="center"/>
      <protection/>
    </xf>
    <xf numFmtId="0" fontId="103" fillId="0" borderId="0" xfId="1345" applyFont="1" applyAlignment="1">
      <alignment horizontal="center"/>
      <protection/>
    </xf>
    <xf numFmtId="0" fontId="103" fillId="0" borderId="0" xfId="1345" applyFont="1" applyFill="1">
      <alignment/>
      <protection/>
    </xf>
    <xf numFmtId="0" fontId="82" fillId="0" borderId="0" xfId="0" applyFont="1" applyAlignment="1">
      <alignment horizontal="right"/>
    </xf>
    <xf numFmtId="4" fontId="82" fillId="0" borderId="0" xfId="0" applyNumberFormat="1" applyFont="1" applyAlignment="1">
      <alignment horizontal="right"/>
    </xf>
    <xf numFmtId="4" fontId="82" fillId="54" borderId="52" xfId="0" applyNumberFormat="1" applyFont="1" applyFill="1" applyBorder="1" applyAlignment="1">
      <alignment horizontal="right"/>
    </xf>
    <xf numFmtId="43" fontId="11" fillId="51" borderId="39" xfId="1219" applyFont="1" applyFill="1" applyBorder="1" applyAlignment="1">
      <alignment/>
    </xf>
    <xf numFmtId="43" fontId="11" fillId="51" borderId="33" xfId="1219" applyFont="1" applyFill="1" applyBorder="1" applyAlignment="1">
      <alignment/>
    </xf>
    <xf numFmtId="43" fontId="11" fillId="51" borderId="40" xfId="1219" applyFont="1" applyFill="1" applyBorder="1" applyAlignment="1">
      <alignment/>
    </xf>
    <xf numFmtId="49" fontId="11" fillId="0" borderId="95" xfId="0" applyNumberFormat="1" applyFont="1" applyBorder="1" applyAlignment="1">
      <alignment horizontal="center"/>
    </xf>
    <xf numFmtId="43" fontId="10" fillId="0" borderId="37" xfId="1213" applyFont="1" applyBorder="1" applyAlignment="1">
      <alignment/>
    </xf>
    <xf numFmtId="43" fontId="10" fillId="0" borderId="24" xfId="1213" applyFont="1" applyBorder="1" applyAlignment="1">
      <alignment/>
    </xf>
    <xf numFmtId="43" fontId="10" fillId="54" borderId="24" xfId="1213" applyFont="1" applyFill="1" applyBorder="1" applyAlignment="1">
      <alignment/>
    </xf>
    <xf numFmtId="0" fontId="0" fillId="56" borderId="0" xfId="0" applyFont="1" applyFill="1" applyAlignment="1">
      <alignment/>
    </xf>
    <xf numFmtId="43" fontId="11" fillId="54" borderId="24" xfId="18" applyFont="1" applyFill="1" applyBorder="1" applyAlignment="1">
      <alignment horizontal="center"/>
    </xf>
    <xf numFmtId="43" fontId="43" fillId="0" borderId="0" xfId="18" applyFont="1" applyFill="1" applyBorder="1" applyAlignment="1">
      <alignment horizontal="center"/>
    </xf>
    <xf numFmtId="0" fontId="0" fillId="0" borderId="52" xfId="0" applyBorder="1" applyAlignment="1">
      <alignment/>
    </xf>
    <xf numFmtId="0" fontId="0" fillId="54" borderId="24" xfId="0" applyFill="1" applyBorder="1" applyAlignment="1">
      <alignment horizontal="center"/>
    </xf>
    <xf numFmtId="196" fontId="106" fillId="0" borderId="0" xfId="0" applyNumberFormat="1" applyFont="1" applyAlignment="1">
      <alignment/>
    </xf>
    <xf numFmtId="0" fontId="94" fillId="0" borderId="0" xfId="0" applyFont="1" applyFill="1" applyAlignment="1">
      <alignment/>
    </xf>
    <xf numFmtId="0" fontId="94" fillId="0" borderId="0" xfId="0" applyFont="1" applyFill="1" applyAlignment="1">
      <alignment/>
    </xf>
    <xf numFmtId="0" fontId="95" fillId="0" borderId="0" xfId="0" applyFont="1" applyFill="1" applyAlignment="1">
      <alignment/>
    </xf>
    <xf numFmtId="0" fontId="119" fillId="0" borderId="0" xfId="0" applyFont="1" applyFill="1" applyAlignment="1">
      <alignment/>
    </xf>
    <xf numFmtId="49" fontId="120" fillId="0" borderId="0" xfId="0" applyNumberFormat="1" applyFont="1" applyFill="1" applyBorder="1" applyAlignment="1">
      <alignment horizontal="left" wrapText="1"/>
    </xf>
    <xf numFmtId="43" fontId="121" fillId="0" borderId="0" xfId="18" applyFont="1" applyFill="1" applyBorder="1" applyAlignment="1">
      <alignment/>
    </xf>
    <xf numFmtId="171" fontId="121" fillId="0" borderId="0" xfId="0" applyNumberFormat="1" applyFont="1" applyFill="1" applyBorder="1" applyAlignment="1">
      <alignment horizontal="right"/>
    </xf>
    <xf numFmtId="171" fontId="121" fillId="0" borderId="0" xfId="0" applyNumberFormat="1" applyFont="1" applyFill="1" applyBorder="1" applyAlignment="1">
      <alignment/>
    </xf>
    <xf numFmtId="43" fontId="122" fillId="0" borderId="0" xfId="18" applyFont="1" applyFill="1" applyBorder="1" applyAlignment="1">
      <alignment/>
    </xf>
    <xf numFmtId="0" fontId="121" fillId="0" borderId="0" xfId="0" applyFont="1" applyFill="1" applyBorder="1" applyAlignment="1">
      <alignment/>
    </xf>
    <xf numFmtId="0" fontId="121" fillId="0" borderId="44" xfId="0" applyFont="1" applyFill="1" applyBorder="1" applyAlignment="1">
      <alignment/>
    </xf>
    <xf numFmtId="0" fontId="121" fillId="0" borderId="46" xfId="0" applyFont="1" applyFill="1" applyBorder="1" applyAlignment="1">
      <alignment/>
    </xf>
    <xf numFmtId="0" fontId="121" fillId="57" borderId="49" xfId="0" applyFont="1" applyFill="1" applyBorder="1" applyAlignment="1">
      <alignment/>
    </xf>
    <xf numFmtId="0" fontId="121" fillId="57" borderId="65" xfId="0" applyFont="1" applyFill="1" applyBorder="1" applyAlignment="1">
      <alignment horizontal="center"/>
    </xf>
    <xf numFmtId="0" fontId="121" fillId="7" borderId="65" xfId="0" applyFont="1" applyFill="1" applyBorder="1" applyAlignment="1">
      <alignment horizontal="center" vertical="center" wrapText="1"/>
    </xf>
    <xf numFmtId="0" fontId="95" fillId="57" borderId="65" xfId="0" applyFont="1" applyFill="1" applyBorder="1" applyAlignment="1">
      <alignment/>
    </xf>
    <xf numFmtId="0" fontId="121" fillId="7" borderId="65" xfId="1331" applyFont="1" applyFill="1" applyBorder="1" applyAlignment="1">
      <alignment horizontal="center" vertical="center" wrapText="1"/>
      <protection/>
    </xf>
    <xf numFmtId="0" fontId="121" fillId="6" borderId="76" xfId="0" applyFont="1" applyFill="1" applyBorder="1" applyAlignment="1">
      <alignment horizontal="center" vertical="center" wrapText="1"/>
    </xf>
    <xf numFmtId="0" fontId="121" fillId="6" borderId="48" xfId="0" applyFont="1" applyFill="1" applyBorder="1" applyAlignment="1">
      <alignment horizontal="center" vertical="center" wrapText="1"/>
    </xf>
    <xf numFmtId="0" fontId="121" fillId="6" borderId="26" xfId="0" applyFont="1" applyFill="1" applyBorder="1" applyAlignment="1">
      <alignment horizontal="center" vertical="center" wrapText="1"/>
    </xf>
    <xf numFmtId="0" fontId="121" fillId="57" borderId="52" xfId="0" applyFont="1" applyFill="1" applyBorder="1" applyAlignment="1">
      <alignment horizontal="center" vertical="center" wrapText="1"/>
    </xf>
    <xf numFmtId="0" fontId="121" fillId="57" borderId="24" xfId="0" applyFont="1" applyFill="1" applyBorder="1" applyAlignment="1">
      <alignment horizontal="center" vertical="center" wrapText="1"/>
    </xf>
    <xf numFmtId="0" fontId="121" fillId="6" borderId="25" xfId="0" applyFont="1" applyFill="1" applyBorder="1" applyAlignment="1">
      <alignment horizontal="center" vertical="center" wrapText="1"/>
    </xf>
    <xf numFmtId="49" fontId="121" fillId="0" borderId="24" xfId="0" applyNumberFormat="1" applyFont="1" applyFill="1" applyBorder="1" applyAlignment="1">
      <alignment horizontal="center"/>
    </xf>
    <xf numFmtId="0" fontId="121" fillId="0" borderId="24" xfId="0" applyNumberFormat="1" applyFont="1" applyFill="1" applyBorder="1" applyAlignment="1">
      <alignment horizontal="center"/>
    </xf>
    <xf numFmtId="0" fontId="121" fillId="0" borderId="37" xfId="0" applyFont="1" applyFill="1" applyBorder="1" applyAlignment="1">
      <alignment/>
    </xf>
    <xf numFmtId="43" fontId="95" fillId="0" borderId="28" xfId="18" applyFont="1" applyFill="1" applyBorder="1" applyAlignment="1">
      <alignment/>
    </xf>
    <xf numFmtId="43" fontId="95" fillId="0" borderId="64" xfId="18" applyFont="1" applyFill="1" applyBorder="1" applyAlignment="1">
      <alignment/>
    </xf>
    <xf numFmtId="43" fontId="95" fillId="57" borderId="24" xfId="18" applyFont="1" applyFill="1" applyBorder="1" applyAlignment="1">
      <alignment/>
    </xf>
    <xf numFmtId="43" fontId="95" fillId="0" borderId="24" xfId="18" applyFont="1" applyFill="1" applyBorder="1" applyAlignment="1">
      <alignment/>
    </xf>
    <xf numFmtId="171" fontId="95" fillId="0" borderId="24" xfId="1202" applyNumberFormat="1" applyFont="1" applyBorder="1" applyAlignment="1">
      <alignment/>
    </xf>
    <xf numFmtId="43" fontId="95" fillId="0" borderId="24" xfId="1175" applyFont="1" applyFill="1" applyBorder="1" applyAlignment="1">
      <alignment horizontal="center"/>
    </xf>
    <xf numFmtId="43" fontId="95" fillId="0" borderId="25" xfId="18" applyFont="1" applyFill="1" applyBorder="1" applyAlignment="1">
      <alignment/>
    </xf>
    <xf numFmtId="171" fontId="121" fillId="7" borderId="48" xfId="0" applyNumberFormat="1" applyFont="1" applyFill="1" applyBorder="1" applyAlignment="1">
      <alignment horizontal="center" vertical="justify"/>
    </xf>
    <xf numFmtId="49" fontId="121" fillId="0" borderId="37" xfId="0" applyNumberFormat="1" applyFont="1" applyFill="1" applyBorder="1" applyAlignment="1">
      <alignment wrapText="1"/>
    </xf>
    <xf numFmtId="43" fontId="95" fillId="0" borderId="52" xfId="18" applyFont="1" applyFill="1" applyBorder="1" applyAlignment="1">
      <alignment/>
    </xf>
    <xf numFmtId="43" fontId="121" fillId="0" borderId="24" xfId="18" applyFont="1" applyFill="1" applyBorder="1" applyAlignment="1">
      <alignment/>
    </xf>
    <xf numFmtId="0" fontId="95" fillId="0" borderId="24" xfId="0" applyFont="1" applyFill="1" applyBorder="1" applyAlignment="1">
      <alignment/>
    </xf>
    <xf numFmtId="0" fontId="95" fillId="57" borderId="24" xfId="0" applyFont="1" applyFill="1" applyBorder="1" applyAlignment="1">
      <alignment/>
    </xf>
    <xf numFmtId="49" fontId="121" fillId="0" borderId="37" xfId="0" applyNumberFormat="1" applyFont="1" applyBorder="1" applyAlignment="1">
      <alignment wrapText="1"/>
    </xf>
    <xf numFmtId="43" fontId="95" fillId="0" borderId="28" xfId="18" applyFont="1" applyBorder="1" applyAlignment="1">
      <alignment/>
    </xf>
    <xf numFmtId="0" fontId="95" fillId="0" borderId="24" xfId="0" applyFont="1" applyBorder="1" applyAlignment="1">
      <alignment/>
    </xf>
    <xf numFmtId="0" fontId="119" fillId="0" borderId="0" xfId="0" applyFont="1" applyAlignment="1">
      <alignment/>
    </xf>
    <xf numFmtId="49" fontId="123" fillId="0" borderId="35" xfId="0" applyNumberFormat="1" applyFont="1" applyFill="1" applyBorder="1" applyAlignment="1">
      <alignment horizontal="center"/>
    </xf>
    <xf numFmtId="0" fontId="123" fillId="0" borderId="24" xfId="0" applyNumberFormat="1" applyFont="1" applyFill="1" applyBorder="1" applyAlignment="1">
      <alignment horizontal="center"/>
    </xf>
    <xf numFmtId="49" fontId="123" fillId="0" borderId="37" xfId="0" applyNumberFormat="1" applyFont="1" applyBorder="1" applyAlignment="1">
      <alignment wrapText="1"/>
    </xf>
    <xf numFmtId="43" fontId="123" fillId="0" borderId="28" xfId="1175" applyFont="1" applyBorder="1" applyAlignment="1">
      <alignment/>
    </xf>
    <xf numFmtId="43" fontId="95" fillId="57" borderId="0" xfId="18" applyFont="1" applyFill="1" applyBorder="1" applyAlignment="1">
      <alignment/>
    </xf>
    <xf numFmtId="43" fontId="124" fillId="0" borderId="24" xfId="1175" applyFont="1" applyFill="1" applyBorder="1" applyAlignment="1">
      <alignment/>
    </xf>
    <xf numFmtId="0" fontId="95" fillId="57" borderId="0" xfId="0" applyFont="1" applyFill="1" applyBorder="1" applyAlignment="1">
      <alignment/>
    </xf>
    <xf numFmtId="43" fontId="123" fillId="0" borderId="24" xfId="1175" applyFont="1" applyFill="1" applyBorder="1" applyAlignment="1">
      <alignment horizontal="center" vertical="justify"/>
    </xf>
    <xf numFmtId="49" fontId="123" fillId="0" borderId="24" xfId="0" applyNumberFormat="1" applyFont="1" applyFill="1" applyBorder="1" applyAlignment="1">
      <alignment horizontal="center"/>
    </xf>
    <xf numFmtId="0" fontId="123" fillId="0" borderId="35" xfId="0" applyNumberFormat="1" applyFont="1" applyFill="1" applyBorder="1" applyAlignment="1">
      <alignment horizontal="center"/>
    </xf>
    <xf numFmtId="49" fontId="123" fillId="0" borderId="36" xfId="0" applyNumberFormat="1" applyFont="1" applyFill="1" applyBorder="1" applyAlignment="1">
      <alignment wrapText="1"/>
    </xf>
    <xf numFmtId="43" fontId="124" fillId="0" borderId="35" xfId="1175" applyFont="1" applyFill="1" applyBorder="1" applyAlignment="1">
      <alignment/>
    </xf>
    <xf numFmtId="49" fontId="123" fillId="0" borderId="37" xfId="0" applyNumberFormat="1" applyFont="1" applyFill="1" applyBorder="1" applyAlignment="1">
      <alignment wrapText="1"/>
    </xf>
    <xf numFmtId="43" fontId="124" fillId="0" borderId="52" xfId="1175" applyFont="1" applyFill="1" applyBorder="1" applyAlignment="1">
      <alignment/>
    </xf>
    <xf numFmtId="0" fontId="123" fillId="54" borderId="0" xfId="0" applyFont="1" applyFill="1" applyBorder="1" applyAlignment="1">
      <alignment/>
    </xf>
    <xf numFmtId="0" fontId="123" fillId="54" borderId="37" xfId="0" applyFont="1" applyFill="1" applyBorder="1" applyAlignment="1">
      <alignment/>
    </xf>
    <xf numFmtId="43" fontId="123" fillId="0" borderId="54" xfId="1175" applyFont="1" applyBorder="1" applyAlignment="1">
      <alignment/>
    </xf>
    <xf numFmtId="43" fontId="95" fillId="57" borderId="27" xfId="18" applyFont="1" applyFill="1" applyBorder="1" applyAlignment="1">
      <alignment/>
    </xf>
    <xf numFmtId="43" fontId="124" fillId="0" borderId="70" xfId="1175" applyFont="1" applyFill="1" applyBorder="1" applyAlignment="1">
      <alignment/>
    </xf>
    <xf numFmtId="0" fontId="95" fillId="57" borderId="27" xfId="0" applyFont="1" applyFill="1" applyBorder="1" applyAlignment="1">
      <alignment/>
    </xf>
    <xf numFmtId="43" fontId="95" fillId="0" borderId="70" xfId="18" applyFont="1" applyFill="1" applyBorder="1" applyAlignment="1">
      <alignment/>
    </xf>
    <xf numFmtId="0" fontId="123" fillId="54" borderId="24" xfId="0" applyFont="1" applyFill="1" applyBorder="1" applyAlignment="1">
      <alignment wrapText="1"/>
    </xf>
    <xf numFmtId="43" fontId="123" fillId="0" borderId="97" xfId="1175" applyFont="1" applyBorder="1" applyAlignment="1">
      <alignment/>
    </xf>
    <xf numFmtId="0" fontId="121" fillId="0" borderId="0" xfId="0" applyFont="1" applyFill="1" applyAlignment="1">
      <alignment/>
    </xf>
    <xf numFmtId="0" fontId="121" fillId="0" borderId="0" xfId="0" applyNumberFormat="1" applyFont="1" applyFill="1" applyBorder="1" applyAlignment="1">
      <alignment horizontal="center"/>
    </xf>
    <xf numFmtId="43" fontId="122" fillId="0" borderId="84" xfId="18" applyFont="1" applyFill="1" applyBorder="1" applyAlignment="1">
      <alignment/>
    </xf>
    <xf numFmtId="43" fontId="122" fillId="0" borderId="84" xfId="0" applyNumberFormat="1" applyFont="1" applyFill="1" applyBorder="1" applyAlignment="1">
      <alignment horizontal="left"/>
    </xf>
    <xf numFmtId="43" fontId="94" fillId="0" borderId="0" xfId="0" applyNumberFormat="1" applyFont="1" applyFill="1" applyBorder="1" applyAlignment="1">
      <alignment/>
    </xf>
    <xf numFmtId="0" fontId="94" fillId="0" borderId="0" xfId="0" applyFont="1" applyFill="1" applyBorder="1" applyAlignment="1">
      <alignment/>
    </xf>
    <xf numFmtId="49" fontId="123" fillId="0" borderId="0" xfId="0" applyNumberFormat="1" applyFont="1" applyFill="1" applyBorder="1" applyAlignment="1">
      <alignment horizontal="center"/>
    </xf>
    <xf numFmtId="0" fontId="123" fillId="0" borderId="0" xfId="0" applyNumberFormat="1" applyFont="1" applyFill="1" applyBorder="1" applyAlignment="1">
      <alignment horizontal="center"/>
    </xf>
    <xf numFmtId="49" fontId="123" fillId="0" borderId="0" xfId="0" applyNumberFormat="1" applyFont="1" applyBorder="1" applyAlignment="1">
      <alignment wrapText="1"/>
    </xf>
    <xf numFmtId="43" fontId="123" fillId="0" borderId="0" xfId="1176" applyFont="1" applyBorder="1" applyAlignment="1">
      <alignment/>
    </xf>
    <xf numFmtId="43" fontId="122" fillId="0" borderId="0" xfId="1176" applyFont="1" applyFill="1" applyBorder="1" applyAlignment="1">
      <alignment/>
    </xf>
    <xf numFmtId="43" fontId="95" fillId="0" borderId="0" xfId="18" applyFont="1" applyFill="1" applyBorder="1" applyAlignment="1">
      <alignment/>
    </xf>
    <xf numFmtId="43" fontId="123" fillId="0" borderId="0" xfId="1176" applyFont="1" applyFill="1" applyBorder="1" applyAlignment="1">
      <alignment/>
    </xf>
    <xf numFmtId="0" fontId="95" fillId="0" borderId="0" xfId="0" applyFont="1" applyFill="1" applyBorder="1" applyAlignment="1">
      <alignment/>
    </xf>
    <xf numFmtId="171" fontId="124" fillId="0" borderId="0" xfId="1202" applyNumberFormat="1" applyFont="1" applyFill="1" applyBorder="1" applyAlignment="1">
      <alignment/>
    </xf>
    <xf numFmtId="171" fontId="124" fillId="0" borderId="0" xfId="1202" applyNumberFormat="1" applyFont="1" applyBorder="1" applyAlignment="1">
      <alignment/>
    </xf>
    <xf numFmtId="43" fontId="124" fillId="0" borderId="0" xfId="1176" applyFont="1" applyFill="1" applyBorder="1" applyAlignment="1">
      <alignment horizontal="center"/>
    </xf>
    <xf numFmtId="43" fontId="124" fillId="0" borderId="0" xfId="1176" applyFont="1" applyFill="1" applyBorder="1" applyAlignment="1">
      <alignment/>
    </xf>
    <xf numFmtId="171" fontId="121" fillId="7" borderId="84" xfId="0" applyNumberFormat="1" applyFont="1" applyFill="1" applyBorder="1" applyAlignment="1">
      <alignment horizontal="center" vertical="justify"/>
    </xf>
    <xf numFmtId="43" fontId="125" fillId="0" borderId="0" xfId="1176" applyFont="1" applyFill="1" applyBorder="1" applyAlignment="1">
      <alignment/>
    </xf>
    <xf numFmtId="43" fontId="122" fillId="0" borderId="0" xfId="0" applyNumberFormat="1" applyFont="1" applyFill="1" applyBorder="1" applyAlignment="1">
      <alignment horizontal="left"/>
    </xf>
    <xf numFmtId="0" fontId="126" fillId="0" borderId="0" xfId="0" applyFont="1" applyFill="1" applyAlignment="1">
      <alignment horizontal="left"/>
    </xf>
    <xf numFmtId="0" fontId="120" fillId="0" borderId="0" xfId="0" applyFont="1" applyFill="1" applyAlignment="1">
      <alignment horizontal="center"/>
    </xf>
    <xf numFmtId="0" fontId="127" fillId="0" borderId="0" xfId="0" applyFont="1" applyFill="1" applyAlignment="1">
      <alignment/>
    </xf>
    <xf numFmtId="43" fontId="119" fillId="0" borderId="0" xfId="18" applyFont="1" applyFill="1" applyAlignment="1">
      <alignment/>
    </xf>
    <xf numFmtId="43" fontId="119" fillId="0" borderId="0" xfId="18" applyFont="1" applyFill="1" applyBorder="1" applyAlignment="1">
      <alignment/>
    </xf>
    <xf numFmtId="171" fontId="95" fillId="0" borderId="0" xfId="0" applyNumberFormat="1" applyFont="1" applyFill="1" applyAlignment="1">
      <alignment/>
    </xf>
    <xf numFmtId="43" fontId="95" fillId="0" borderId="0" xfId="18" applyFont="1" applyFill="1" applyAlignment="1">
      <alignment/>
    </xf>
    <xf numFmtId="43" fontId="94" fillId="0" borderId="0" xfId="18" applyFont="1" applyFill="1" applyAlignment="1">
      <alignment/>
    </xf>
    <xf numFmtId="0" fontId="120" fillId="0" borderId="0" xfId="0" applyFont="1" applyFill="1" applyAlignment="1">
      <alignment/>
    </xf>
    <xf numFmtId="43" fontId="121" fillId="0" borderId="85" xfId="18" applyFont="1" applyFill="1" applyBorder="1" applyAlignment="1">
      <alignment/>
    </xf>
    <xf numFmtId="49" fontId="120" fillId="57" borderId="65" xfId="0" applyNumberFormat="1" applyFont="1" applyFill="1" applyBorder="1" applyAlignment="1">
      <alignment horizontal="left" wrapText="1"/>
    </xf>
    <xf numFmtId="43" fontId="121" fillId="0" borderId="65" xfId="18" applyFont="1" applyFill="1" applyBorder="1" applyAlignment="1">
      <alignment/>
    </xf>
    <xf numFmtId="43" fontId="121" fillId="57" borderId="65" xfId="18" applyFont="1" applyFill="1" applyBorder="1" applyAlignment="1">
      <alignment/>
    </xf>
    <xf numFmtId="43" fontId="121" fillId="54" borderId="65" xfId="18" applyFont="1" applyFill="1" applyBorder="1" applyAlignment="1">
      <alignment/>
    </xf>
    <xf numFmtId="43" fontId="121" fillId="0" borderId="65" xfId="0" applyNumberFormat="1" applyFont="1" applyFill="1" applyBorder="1" applyAlignment="1">
      <alignment/>
    </xf>
    <xf numFmtId="43" fontId="121" fillId="0" borderId="50" xfId="0" applyNumberFormat="1" applyFont="1" applyFill="1" applyBorder="1" applyAlignment="1">
      <alignment/>
    </xf>
    <xf numFmtId="43" fontId="121" fillId="0" borderId="34" xfId="18" applyFont="1" applyFill="1" applyBorder="1" applyAlignment="1">
      <alignment/>
    </xf>
    <xf numFmtId="43" fontId="121" fillId="57" borderId="78" xfId="18" applyFont="1" applyFill="1" applyBorder="1" applyAlignment="1">
      <alignment/>
    </xf>
    <xf numFmtId="43" fontId="121" fillId="0" borderId="78" xfId="18" applyFont="1" applyFill="1" applyBorder="1" applyAlignment="1">
      <alignment/>
    </xf>
    <xf numFmtId="43" fontId="121" fillId="57" borderId="59" xfId="18" applyFont="1" applyFill="1" applyBorder="1" applyAlignment="1">
      <alignment/>
    </xf>
    <xf numFmtId="43" fontId="121" fillId="0" borderId="35" xfId="18" applyFont="1" applyFill="1" applyBorder="1" applyAlignment="1">
      <alignment/>
    </xf>
    <xf numFmtId="43" fontId="121" fillId="57" borderId="35" xfId="18" applyFont="1" applyFill="1" applyBorder="1" applyAlignment="1">
      <alignment/>
    </xf>
    <xf numFmtId="43" fontId="121" fillId="0" borderId="25" xfId="0" applyNumberFormat="1" applyFont="1" applyFill="1" applyBorder="1" applyAlignment="1">
      <alignment/>
    </xf>
    <xf numFmtId="43" fontId="121" fillId="57" borderId="80" xfId="18" applyFont="1" applyFill="1" applyBorder="1" applyAlignment="1">
      <alignment/>
    </xf>
    <xf numFmtId="43" fontId="121" fillId="0" borderId="31" xfId="18" applyFont="1" applyFill="1" applyBorder="1" applyAlignment="1">
      <alignment/>
    </xf>
    <xf numFmtId="43" fontId="121" fillId="57" borderId="31" xfId="18" applyFont="1" applyFill="1" applyBorder="1" applyAlignment="1">
      <alignment/>
    </xf>
    <xf numFmtId="43" fontId="121" fillId="57" borderId="67" xfId="18" applyFont="1" applyFill="1" applyBorder="1" applyAlignment="1">
      <alignment/>
    </xf>
    <xf numFmtId="43" fontId="121" fillId="0" borderId="37" xfId="0" applyNumberFormat="1" applyFont="1" applyFill="1" applyBorder="1" applyAlignment="1">
      <alignment/>
    </xf>
    <xf numFmtId="43" fontId="121" fillId="0" borderId="34" xfId="1176" applyFont="1" applyFill="1" applyBorder="1" applyAlignment="1">
      <alignment/>
    </xf>
    <xf numFmtId="43" fontId="121" fillId="57" borderId="80" xfId="1176" applyFont="1" applyFill="1" applyBorder="1" applyAlignment="1">
      <alignment/>
    </xf>
    <xf numFmtId="43" fontId="122" fillId="0" borderId="31" xfId="18" applyFont="1" applyFill="1" applyBorder="1" applyAlignment="1">
      <alignment/>
    </xf>
    <xf numFmtId="43" fontId="122" fillId="0" borderId="24" xfId="18" applyFont="1" applyFill="1" applyBorder="1" applyAlignment="1">
      <alignment/>
    </xf>
    <xf numFmtId="43" fontId="121" fillId="57" borderId="31" xfId="1176" applyFont="1" applyFill="1" applyBorder="1" applyAlignment="1">
      <alignment/>
    </xf>
    <xf numFmtId="43" fontId="121" fillId="0" borderId="31" xfId="1176" applyFont="1" applyFill="1" applyBorder="1" applyAlignment="1">
      <alignment/>
    </xf>
    <xf numFmtId="43" fontId="121" fillId="0" borderId="82" xfId="1176" applyFont="1" applyFill="1" applyBorder="1" applyAlignment="1">
      <alignment/>
    </xf>
    <xf numFmtId="43" fontId="121" fillId="57" borderId="67" xfId="1176" applyFont="1" applyFill="1" applyBorder="1" applyAlignment="1">
      <alignment/>
    </xf>
    <xf numFmtId="43" fontId="121" fillId="14" borderId="34" xfId="18" applyFont="1" applyFill="1" applyBorder="1" applyAlignment="1">
      <alignment/>
    </xf>
    <xf numFmtId="49" fontId="120" fillId="14" borderId="24" xfId="0" applyNumberFormat="1" applyFont="1" applyFill="1" applyBorder="1" applyAlignment="1">
      <alignment horizontal="left" wrapText="1"/>
    </xf>
    <xf numFmtId="43" fontId="121" fillId="14" borderId="24" xfId="18" applyFont="1" applyFill="1" applyBorder="1" applyAlignment="1">
      <alignment/>
    </xf>
    <xf numFmtId="43" fontId="121" fillId="14" borderId="23" xfId="18" applyFont="1" applyFill="1" applyBorder="1" applyAlignment="1">
      <alignment/>
    </xf>
    <xf numFmtId="43" fontId="121" fillId="14" borderId="37" xfId="18" applyFont="1" applyFill="1" applyBorder="1" applyAlignment="1">
      <alignment/>
    </xf>
    <xf numFmtId="43" fontId="121" fillId="14" borderId="37" xfId="18" applyFont="1" applyFill="1" applyBorder="1" applyAlignment="1">
      <alignment/>
    </xf>
    <xf numFmtId="43" fontId="121" fillId="14" borderId="25" xfId="0" applyNumberFormat="1" applyFont="1" applyFill="1" applyBorder="1" applyAlignment="1">
      <alignment/>
    </xf>
    <xf numFmtId="43" fontId="94" fillId="0" borderId="0" xfId="0" applyNumberFormat="1" applyFont="1" applyFill="1" applyAlignment="1">
      <alignment/>
    </xf>
    <xf numFmtId="43" fontId="121" fillId="7" borderId="34" xfId="18" applyFont="1" applyFill="1" applyBorder="1" applyAlignment="1">
      <alignment/>
    </xf>
    <xf numFmtId="49" fontId="120" fillId="57" borderId="24" xfId="0" applyNumberFormat="1" applyFont="1" applyFill="1" applyBorder="1" applyAlignment="1">
      <alignment horizontal="left" wrapText="1"/>
    </xf>
    <xf numFmtId="43" fontId="121" fillId="7" borderId="24" xfId="18" applyFont="1" applyFill="1" applyBorder="1" applyAlignment="1">
      <alignment/>
    </xf>
    <xf numFmtId="43" fontId="121" fillId="57" borderId="0" xfId="18" applyFont="1" applyFill="1" applyBorder="1" applyAlignment="1">
      <alignment/>
    </xf>
    <xf numFmtId="43" fontId="122" fillId="57" borderId="24" xfId="18" applyFont="1" applyFill="1" applyBorder="1" applyAlignment="1">
      <alignment/>
    </xf>
    <xf numFmtId="43" fontId="121" fillId="57" borderId="37" xfId="18" applyFont="1" applyFill="1" applyBorder="1" applyAlignment="1">
      <alignment/>
    </xf>
    <xf numFmtId="43" fontId="122" fillId="0" borderId="23" xfId="18" applyFont="1" applyFill="1" applyBorder="1" applyAlignment="1">
      <alignment/>
    </xf>
    <xf numFmtId="43" fontId="122" fillId="57" borderId="37" xfId="18" applyFont="1" applyFill="1" applyBorder="1" applyAlignment="1">
      <alignment/>
    </xf>
    <xf numFmtId="43" fontId="121" fillId="53" borderId="37" xfId="18" applyFont="1" applyFill="1" applyBorder="1" applyAlignment="1">
      <alignment/>
    </xf>
    <xf numFmtId="43" fontId="122" fillId="57" borderId="0" xfId="18" applyFont="1" applyFill="1" applyBorder="1" applyAlignment="1">
      <alignment/>
    </xf>
    <xf numFmtId="43" fontId="122" fillId="57" borderId="31" xfId="18" applyFont="1" applyFill="1" applyBorder="1" applyAlignment="1">
      <alignment/>
    </xf>
    <xf numFmtId="43" fontId="122" fillId="0" borderId="82" xfId="18" applyFont="1" applyFill="1" applyBorder="1" applyAlignment="1">
      <alignment/>
    </xf>
    <xf numFmtId="43" fontId="121" fillId="53" borderId="67" xfId="18" applyFont="1" applyFill="1" applyBorder="1" applyAlignment="1">
      <alignment/>
    </xf>
    <xf numFmtId="43" fontId="122" fillId="54" borderId="24" xfId="18" applyFont="1" applyFill="1" applyBorder="1" applyAlignment="1">
      <alignment/>
    </xf>
    <xf numFmtId="43" fontId="121" fillId="54" borderId="24" xfId="18" applyFont="1" applyFill="1" applyBorder="1" applyAlignment="1">
      <alignment/>
    </xf>
    <xf numFmtId="43" fontId="121" fillId="54" borderId="24" xfId="18" applyFont="1" applyFill="1" applyBorder="1" applyAlignment="1">
      <alignment/>
    </xf>
    <xf numFmtId="43" fontId="121" fillId="53" borderId="24" xfId="18" applyFont="1" applyFill="1" applyBorder="1" applyAlignment="1">
      <alignment/>
    </xf>
    <xf numFmtId="0" fontId="96" fillId="0" borderId="0" xfId="0" applyFont="1" applyAlignment="1">
      <alignment/>
    </xf>
    <xf numFmtId="43" fontId="128" fillId="0" borderId="0" xfId="18" applyFont="1" applyAlignment="1">
      <alignment/>
    </xf>
    <xf numFmtId="43" fontId="121" fillId="6" borderId="34" xfId="18" applyFont="1" applyFill="1" applyBorder="1" applyAlignment="1">
      <alignment/>
    </xf>
    <xf numFmtId="43" fontId="121" fillId="6" borderId="24" xfId="18" applyFont="1" applyFill="1" applyBorder="1" applyAlignment="1">
      <alignment/>
    </xf>
    <xf numFmtId="43" fontId="122" fillId="6" borderId="24" xfId="1245" applyFont="1" applyFill="1" applyBorder="1" applyAlignment="1">
      <alignment/>
    </xf>
    <xf numFmtId="43" fontId="122" fillId="54" borderId="24" xfId="1245" applyFont="1" applyFill="1" applyBorder="1" applyAlignment="1">
      <alignment/>
    </xf>
    <xf numFmtId="43" fontId="121" fillId="6" borderId="24" xfId="1245" applyFont="1" applyFill="1" applyBorder="1" applyAlignment="1">
      <alignment/>
    </xf>
    <xf numFmtId="43" fontId="122" fillId="57" borderId="24" xfId="1245" applyFont="1" applyFill="1" applyBorder="1" applyAlignment="1">
      <alignment/>
    </xf>
    <xf numFmtId="43" fontId="122" fillId="0" borderId="24" xfId="1245" applyFont="1" applyFill="1" applyBorder="1" applyAlignment="1">
      <alignment/>
    </xf>
    <xf numFmtId="43" fontId="121" fillId="54" borderId="24" xfId="1245" applyFont="1" applyFill="1" applyBorder="1" applyAlignment="1">
      <alignment/>
    </xf>
    <xf numFmtId="43" fontId="122" fillId="57" borderId="35" xfId="1245" applyFont="1" applyFill="1" applyBorder="1" applyAlignment="1">
      <alignment/>
    </xf>
    <xf numFmtId="43" fontId="121" fillId="57" borderId="24" xfId="18" applyFont="1" applyFill="1" applyBorder="1" applyAlignment="1">
      <alignment/>
    </xf>
    <xf numFmtId="43" fontId="121" fillId="0" borderId="24" xfId="1176" applyFont="1" applyFill="1" applyBorder="1" applyAlignment="1">
      <alignment/>
    </xf>
    <xf numFmtId="43" fontId="119" fillId="0" borderId="0" xfId="0" applyNumberFormat="1" applyFont="1" applyFill="1" applyAlignment="1">
      <alignment/>
    </xf>
    <xf numFmtId="43" fontId="122" fillId="0" borderId="35" xfId="1245" applyFont="1" applyFill="1" applyBorder="1" applyAlignment="1">
      <alignment/>
    </xf>
    <xf numFmtId="0" fontId="129" fillId="0" borderId="0" xfId="0" applyFont="1" applyBorder="1" applyAlignment="1">
      <alignment horizontal="left" vertical="center" wrapText="1"/>
    </xf>
    <xf numFmtId="0" fontId="129" fillId="0" borderId="58" xfId="0" applyFont="1" applyBorder="1" applyAlignment="1">
      <alignment horizontal="left" vertical="center" wrapText="1"/>
    </xf>
    <xf numFmtId="43" fontId="119" fillId="0" borderId="84" xfId="0" applyNumberFormat="1" applyFont="1" applyFill="1" applyBorder="1" applyAlignment="1">
      <alignment/>
    </xf>
    <xf numFmtId="43" fontId="122" fillId="14" borderId="35" xfId="1245" applyFont="1" applyFill="1" applyBorder="1" applyAlignment="1">
      <alignment/>
    </xf>
    <xf numFmtId="43" fontId="122" fillId="14" borderId="24" xfId="1244" applyFont="1" applyFill="1" applyBorder="1" applyAlignment="1">
      <alignment/>
    </xf>
    <xf numFmtId="43" fontId="122" fillId="14" borderId="24" xfId="1245" applyFont="1" applyFill="1" applyBorder="1" applyAlignment="1">
      <alignment/>
    </xf>
    <xf numFmtId="43" fontId="121" fillId="14" borderId="24" xfId="1245" applyFont="1" applyFill="1" applyBorder="1" applyAlignment="1">
      <alignment/>
    </xf>
    <xf numFmtId="43" fontId="122" fillId="54" borderId="35" xfId="1245" applyFont="1" applyFill="1" applyBorder="1" applyAlignment="1">
      <alignment/>
    </xf>
    <xf numFmtId="43" fontId="122" fillId="54" borderId="24" xfId="1244" applyFont="1" applyFill="1" applyBorder="1" applyAlignment="1">
      <alignment/>
    </xf>
    <xf numFmtId="43" fontId="121" fillId="7" borderId="96" xfId="18" applyFont="1" applyFill="1" applyBorder="1" applyAlignment="1">
      <alignment/>
    </xf>
    <xf numFmtId="49" fontId="120" fillId="57" borderId="70" xfId="0" applyNumberFormat="1" applyFont="1" applyFill="1" applyBorder="1" applyAlignment="1">
      <alignment horizontal="left" wrapText="1"/>
    </xf>
    <xf numFmtId="43" fontId="121" fillId="7" borderId="70" xfId="18" applyFont="1" applyFill="1" applyBorder="1" applyAlignment="1">
      <alignment/>
    </xf>
    <xf numFmtId="43" fontId="121" fillId="57" borderId="70" xfId="18" applyFont="1" applyFill="1" applyBorder="1" applyAlignment="1">
      <alignment/>
    </xf>
    <xf numFmtId="43" fontId="121" fillId="57" borderId="68" xfId="18" applyFont="1" applyFill="1" applyBorder="1" applyAlignment="1">
      <alignment/>
    </xf>
    <xf numFmtId="43" fontId="121" fillId="7" borderId="68" xfId="18" applyFont="1" applyFill="1" applyBorder="1" applyAlignment="1">
      <alignment/>
    </xf>
    <xf numFmtId="43" fontId="121" fillId="7" borderId="91" xfId="18" applyFont="1" applyFill="1" applyBorder="1" applyAlignment="1">
      <alignment/>
    </xf>
    <xf numFmtId="43" fontId="121" fillId="0" borderId="0" xfId="0" applyNumberFormat="1" applyFont="1" applyFill="1" applyAlignment="1">
      <alignment/>
    </xf>
    <xf numFmtId="43" fontId="95" fillId="0" borderId="0" xfId="0" applyNumberFormat="1" applyFont="1" applyFill="1" applyAlignment="1">
      <alignment/>
    </xf>
    <xf numFmtId="0" fontId="130" fillId="0" borderId="0" xfId="0" applyFont="1" applyFill="1" applyAlignment="1">
      <alignment/>
    </xf>
    <xf numFmtId="0" fontId="122" fillId="0" borderId="0" xfId="0" applyFont="1" applyFill="1" applyAlignment="1">
      <alignment horizontal="left"/>
    </xf>
    <xf numFmtId="0" fontId="131" fillId="0" borderId="0" xfId="0" applyFont="1" applyFill="1" applyAlignment="1">
      <alignment/>
    </xf>
    <xf numFmtId="43" fontId="130" fillId="0" borderId="0" xfId="18" applyFont="1" applyFill="1" applyAlignment="1">
      <alignment/>
    </xf>
    <xf numFmtId="43" fontId="130" fillId="0" borderId="0" xfId="18" applyFont="1" applyFill="1" applyBorder="1" applyAlignment="1">
      <alignment/>
    </xf>
    <xf numFmtId="171" fontId="130" fillId="0" borderId="0" xfId="0" applyNumberFormat="1" applyFont="1" applyFill="1" applyAlignment="1">
      <alignment/>
    </xf>
    <xf numFmtId="43" fontId="130" fillId="0" borderId="0" xfId="0" applyNumberFormat="1" applyFont="1" applyFill="1" applyAlignment="1">
      <alignment/>
    </xf>
    <xf numFmtId="43" fontId="130" fillId="0" borderId="0" xfId="0" applyNumberFormat="1" applyFont="1" applyFill="1" applyBorder="1" applyAlignment="1">
      <alignment/>
    </xf>
    <xf numFmtId="0" fontId="120" fillId="0" borderId="0" xfId="0" applyFont="1" applyFill="1" applyAlignment="1">
      <alignment horizontal="left"/>
    </xf>
    <xf numFmtId="0" fontId="121" fillId="0" borderId="0" xfId="0" applyFont="1" applyAlignment="1">
      <alignment/>
    </xf>
    <xf numFmtId="0" fontId="121" fillId="0" borderId="0" xfId="1345" applyFont="1" applyAlignment="1">
      <alignment horizontal="center"/>
      <protection/>
    </xf>
    <xf numFmtId="43" fontId="119" fillId="0" borderId="0" xfId="0" applyNumberFormat="1" applyFont="1" applyAlignment="1">
      <alignment/>
    </xf>
    <xf numFmtId="0" fontId="132" fillId="0" borderId="0" xfId="0" applyFont="1" applyAlignment="1">
      <alignment horizontal="center"/>
    </xf>
    <xf numFmtId="0" fontId="132" fillId="0" borderId="0" xfId="0" applyFont="1" applyAlignment="1">
      <alignment/>
    </xf>
    <xf numFmtId="0" fontId="95" fillId="0" borderId="0" xfId="1345" applyFont="1" applyAlignment="1">
      <alignment horizontal="center"/>
      <protection/>
    </xf>
    <xf numFmtId="0" fontId="132" fillId="0" borderId="0" xfId="1345" applyFont="1" applyAlignment="1">
      <alignment horizontal="center"/>
      <protection/>
    </xf>
    <xf numFmtId="0" fontId="94" fillId="0" borderId="0" xfId="0" applyFont="1" applyAlignment="1">
      <alignment/>
    </xf>
    <xf numFmtId="0" fontId="95" fillId="0" borderId="0" xfId="0" applyFont="1" applyAlignment="1">
      <alignment horizontal="center"/>
    </xf>
    <xf numFmtId="0" fontId="95" fillId="0" borderId="0" xfId="0" applyFont="1" applyAlignment="1">
      <alignment/>
    </xf>
    <xf numFmtId="43" fontId="94" fillId="0" borderId="0" xfId="18" applyFont="1" applyAlignment="1">
      <alignment/>
    </xf>
    <xf numFmtId="43" fontId="94" fillId="0" borderId="0" xfId="0" applyNumberFormat="1" applyFont="1" applyAlignment="1">
      <alignment/>
    </xf>
    <xf numFmtId="43" fontId="95" fillId="0" borderId="0" xfId="0" applyNumberFormat="1" applyFont="1" applyAlignment="1">
      <alignment horizontal="center"/>
    </xf>
    <xf numFmtId="0" fontId="121" fillId="6" borderId="47" xfId="0" applyFont="1" applyFill="1" applyBorder="1" applyAlignment="1">
      <alignment horizontal="center" vertical="center" wrapText="1"/>
    </xf>
    <xf numFmtId="43" fontId="95" fillId="0" borderId="51" xfId="18" applyFont="1" applyFill="1" applyBorder="1" applyAlignment="1">
      <alignment/>
    </xf>
    <xf numFmtId="43" fontId="95" fillId="0" borderId="34" xfId="18" applyFont="1" applyFill="1" applyBorder="1" applyAlignment="1">
      <alignment/>
    </xf>
    <xf numFmtId="43" fontId="95" fillId="0" borderId="23" xfId="18" applyFont="1" applyFill="1" applyBorder="1" applyAlignment="1">
      <alignment/>
    </xf>
    <xf numFmtId="43" fontId="95" fillId="0" borderId="51" xfId="18" applyFont="1" applyBorder="1" applyAlignment="1">
      <alignment/>
    </xf>
    <xf numFmtId="43" fontId="123" fillId="0" borderId="51" xfId="1175" applyFont="1" applyBorder="1" applyAlignment="1">
      <alignment/>
    </xf>
    <xf numFmtId="0" fontId="123" fillId="54" borderId="24" xfId="0" applyFont="1" applyFill="1" applyBorder="1" applyAlignment="1">
      <alignment/>
    </xf>
    <xf numFmtId="43" fontId="124" fillId="0" borderId="23" xfId="1175" applyFont="1" applyFill="1" applyBorder="1" applyAlignment="1">
      <alignment/>
    </xf>
    <xf numFmtId="43" fontId="95" fillId="0" borderId="91" xfId="18" applyFont="1" applyFill="1" applyBorder="1" applyAlignment="1">
      <alignment/>
    </xf>
    <xf numFmtId="171" fontId="124" fillId="0" borderId="68" xfId="1202" applyNumberFormat="1" applyFont="1" applyBorder="1" applyAlignment="1">
      <alignment/>
    </xf>
    <xf numFmtId="0" fontId="94" fillId="0" borderId="24" xfId="0" applyFont="1" applyFill="1" applyBorder="1" applyAlignment="1">
      <alignment/>
    </xf>
    <xf numFmtId="43" fontId="120" fillId="0" borderId="0" xfId="0" applyNumberFormat="1" applyFont="1" applyFill="1" applyAlignment="1">
      <alignment/>
    </xf>
    <xf numFmtId="43" fontId="122" fillId="0" borderId="24" xfId="0" applyNumberFormat="1" applyFont="1" applyFill="1" applyBorder="1" applyAlignment="1">
      <alignment/>
    </xf>
    <xf numFmtId="43" fontId="122" fillId="7" borderId="31" xfId="18" applyFont="1" applyFill="1" applyBorder="1" applyAlignment="1">
      <alignment/>
    </xf>
    <xf numFmtId="43" fontId="122" fillId="0" borderId="31" xfId="0" applyNumberFormat="1" applyFont="1" applyFill="1" applyBorder="1" applyAlignment="1">
      <alignment/>
    </xf>
    <xf numFmtId="0" fontId="133" fillId="0" borderId="0" xfId="0" applyNumberFormat="1" applyFont="1" applyFill="1" applyBorder="1" applyAlignment="1">
      <alignment horizontal="center"/>
    </xf>
    <xf numFmtId="43" fontId="122" fillId="7" borderId="42" xfId="18" applyFont="1" applyFill="1" applyBorder="1" applyAlignment="1">
      <alignment/>
    </xf>
    <xf numFmtId="43" fontId="120" fillId="0" borderId="84" xfId="0" applyNumberFormat="1" applyFont="1" applyFill="1" applyBorder="1" applyAlignment="1">
      <alignment/>
    </xf>
    <xf numFmtId="43" fontId="122" fillId="0" borderId="0" xfId="0" applyNumberFormat="1" applyFont="1" applyFill="1" applyBorder="1" applyAlignment="1">
      <alignment/>
    </xf>
    <xf numFmtId="43" fontId="122" fillId="54" borderId="0" xfId="18" applyFont="1" applyFill="1" applyBorder="1" applyAlignment="1">
      <alignment/>
    </xf>
    <xf numFmtId="43" fontId="120" fillId="0" borderId="0" xfId="0" applyNumberFormat="1" applyFont="1" applyFill="1" applyBorder="1" applyAlignment="1">
      <alignment/>
    </xf>
    <xf numFmtId="49" fontId="121" fillId="54" borderId="0" xfId="0" applyNumberFormat="1" applyFont="1" applyFill="1" applyBorder="1" applyAlignment="1">
      <alignment horizontal="center" wrapText="1"/>
    </xf>
    <xf numFmtId="43" fontId="122" fillId="54" borderId="0" xfId="0" applyNumberFormat="1" applyFont="1" applyFill="1" applyBorder="1" applyAlignment="1">
      <alignment/>
    </xf>
    <xf numFmtId="0" fontId="119" fillId="0" borderId="0" xfId="1345" applyFont="1">
      <alignment/>
      <protection/>
    </xf>
    <xf numFmtId="0" fontId="121" fillId="0" borderId="0" xfId="1345" applyFont="1" applyAlignment="1">
      <alignment/>
      <protection/>
    </xf>
    <xf numFmtId="0" fontId="132" fillId="0" borderId="0" xfId="1345" applyFont="1" applyAlignment="1">
      <alignment/>
      <protection/>
    </xf>
    <xf numFmtId="0" fontId="82" fillId="54" borderId="24" xfId="0" applyFont="1" applyFill="1" applyBorder="1" applyAlignment="1">
      <alignment horizontal="center"/>
    </xf>
    <xf numFmtId="49" fontId="121" fillId="0" borderId="0" xfId="0" applyNumberFormat="1" applyFont="1" applyFill="1" applyBorder="1" applyAlignment="1">
      <alignment horizontal="left" wrapText="1"/>
    </xf>
    <xf numFmtId="0" fontId="121" fillId="6" borderId="24" xfId="0" applyFont="1" applyFill="1" applyBorder="1" applyAlignment="1">
      <alignment horizontal="center" vertical="center" wrapText="1"/>
    </xf>
    <xf numFmtId="0" fontId="120" fillId="0" borderId="0" xfId="0" applyFont="1" applyBorder="1" applyAlignment="1">
      <alignment horizontal="left"/>
    </xf>
    <xf numFmtId="4" fontId="82" fillId="54" borderId="0" xfId="0" applyNumberFormat="1" applyFont="1" applyFill="1" applyBorder="1" applyAlignment="1">
      <alignment horizontal="center"/>
    </xf>
    <xf numFmtId="43" fontId="82" fillId="54" borderId="0" xfId="1213" applyFont="1" applyFill="1" applyBorder="1" applyAlignment="1">
      <alignment horizontal="center"/>
    </xf>
    <xf numFmtId="0" fontId="82" fillId="54" borderId="0" xfId="0" applyFont="1" applyFill="1" applyBorder="1" applyAlignment="1">
      <alignment horizontal="center"/>
    </xf>
    <xf numFmtId="0" fontId="134" fillId="0" borderId="0" xfId="0" applyFont="1" applyAlignment="1">
      <alignment/>
    </xf>
    <xf numFmtId="0" fontId="82" fillId="0" borderId="0" xfId="0" applyFont="1" applyAlignment="1">
      <alignment horizontal="center"/>
    </xf>
    <xf numFmtId="0" fontId="82" fillId="54" borderId="31" xfId="1331" applyFont="1" applyFill="1" applyBorder="1" applyAlignment="1">
      <alignment horizontal="center"/>
      <protection/>
    </xf>
    <xf numFmtId="4" fontId="82" fillId="54" borderId="0" xfId="0" applyNumberFormat="1" applyFont="1" applyFill="1" applyAlignment="1">
      <alignment horizontal="right"/>
    </xf>
    <xf numFmtId="0" fontId="82" fillId="54" borderId="24" xfId="0" applyFont="1" applyFill="1" applyBorder="1" applyAlignment="1">
      <alignment horizontal="center"/>
    </xf>
    <xf numFmtId="4" fontId="82" fillId="54" borderId="24" xfId="0" applyNumberFormat="1" applyFont="1" applyFill="1" applyBorder="1" applyAlignment="1">
      <alignment horizontal="center"/>
    </xf>
    <xf numFmtId="4" fontId="82" fillId="54" borderId="24" xfId="0" applyNumberFormat="1" applyFont="1" applyFill="1" applyBorder="1" applyAlignment="1">
      <alignment horizontal="center"/>
    </xf>
    <xf numFmtId="0" fontId="82" fillId="0" borderId="31" xfId="0" applyFont="1" applyBorder="1" applyAlignment="1">
      <alignment horizontal="center"/>
    </xf>
    <xf numFmtId="0" fontId="82" fillId="54" borderId="24" xfId="0" applyFont="1" applyFill="1" applyBorder="1" applyAlignment="1">
      <alignment horizontal="center"/>
    </xf>
    <xf numFmtId="43" fontId="2" fillId="54" borderId="0" xfId="18" applyFont="1" applyFill="1" applyAlignment="1">
      <alignment/>
    </xf>
    <xf numFmtId="43" fontId="10" fillId="0" borderId="0" xfId="1212" applyFont="1" applyBorder="1" applyAlignment="1">
      <alignment/>
    </xf>
    <xf numFmtId="43" fontId="10" fillId="0" borderId="0" xfId="1213" applyFont="1" applyBorder="1" applyAlignment="1">
      <alignment/>
    </xf>
    <xf numFmtId="0" fontId="95" fillId="0" borderId="0" xfId="0" applyFont="1" applyFill="1" applyAlignment="1">
      <alignment/>
    </xf>
    <xf numFmtId="43" fontId="11" fillId="0" borderId="0" xfId="0" applyNumberFormat="1" applyFont="1" applyAlignment="1">
      <alignment/>
    </xf>
    <xf numFmtId="192" fontId="11" fillId="56" borderId="0" xfId="18" applyNumberFormat="1" applyFont="1" applyFill="1" applyAlignment="1">
      <alignment/>
    </xf>
    <xf numFmtId="43" fontId="10" fillId="0" borderId="24" xfId="0" applyNumberFormat="1" applyFont="1" applyFill="1" applyBorder="1" applyAlignment="1">
      <alignment horizontal="left"/>
    </xf>
    <xf numFmtId="4" fontId="0" fillId="0" borderId="0" xfId="0" applyNumberFormat="1" applyFont="1" applyAlignment="1">
      <alignment/>
    </xf>
    <xf numFmtId="171" fontId="94" fillId="0" borderId="0" xfId="0" applyNumberFormat="1" applyFont="1" applyFill="1" applyAlignment="1">
      <alignment/>
    </xf>
    <xf numFmtId="43" fontId="122" fillId="14" borderId="42" xfId="18" applyFont="1" applyFill="1" applyBorder="1" applyAlignment="1">
      <alignment/>
    </xf>
    <xf numFmtId="43" fontId="122" fillId="14" borderId="42" xfId="0" applyNumberFormat="1" applyFont="1" applyFill="1" applyBorder="1" applyAlignment="1">
      <alignment/>
    </xf>
    <xf numFmtId="0" fontId="121" fillId="0" borderId="0" xfId="0" applyFont="1" applyAlignment="1">
      <alignment/>
    </xf>
    <xf numFmtId="0" fontId="122" fillId="0" borderId="0" xfId="0" applyFont="1" applyAlignment="1">
      <alignment/>
    </xf>
    <xf numFmtId="0" fontId="122" fillId="0" borderId="0" xfId="1345" applyFont="1" applyAlignment="1">
      <alignment horizontal="center"/>
      <protection/>
    </xf>
    <xf numFmtId="0" fontId="130" fillId="0" borderId="0" xfId="0" applyFont="1" applyAlignment="1">
      <alignment/>
    </xf>
    <xf numFmtId="0" fontId="132" fillId="0" borderId="0" xfId="0" applyFont="1" applyAlignment="1">
      <alignment horizontal="center"/>
    </xf>
    <xf numFmtId="0" fontId="145" fillId="0" borderId="0" xfId="0" applyFont="1" applyAlignment="1">
      <alignment/>
    </xf>
    <xf numFmtId="0" fontId="130" fillId="0" borderId="0" xfId="1345" applyFont="1" applyAlignment="1">
      <alignment horizontal="center"/>
      <protection/>
    </xf>
    <xf numFmtId="0" fontId="130" fillId="0" borderId="0" xfId="0" applyFont="1" applyFill="1" applyAlignment="1">
      <alignment/>
    </xf>
    <xf numFmtId="0" fontId="95" fillId="0" borderId="0" xfId="0" applyFont="1" applyAlignment="1">
      <alignment horizontal="center"/>
    </xf>
    <xf numFmtId="0" fontId="130" fillId="0" borderId="0" xfId="0" applyFont="1" applyAlignment="1">
      <alignment/>
    </xf>
    <xf numFmtId="0" fontId="94" fillId="0" borderId="0" xfId="0" applyFont="1" applyFill="1" applyAlignment="1">
      <alignment/>
    </xf>
    <xf numFmtId="43" fontId="121" fillId="27" borderId="25" xfId="0" applyNumberFormat="1" applyFont="1" applyFill="1" applyBorder="1" applyAlignment="1">
      <alignment/>
    </xf>
    <xf numFmtId="43" fontId="10" fillId="0" borderId="52" xfId="1176" applyFont="1" applyBorder="1" applyAlignment="1">
      <alignment/>
    </xf>
    <xf numFmtId="0" fontId="82" fillId="54" borderId="52" xfId="0" applyFont="1" applyFill="1" applyBorder="1" applyAlignment="1">
      <alignment horizontal="left"/>
    </xf>
    <xf numFmtId="0" fontId="82" fillId="54" borderId="72" xfId="0" applyNumberFormat="1" applyFont="1" applyFill="1" applyBorder="1" applyAlignment="1">
      <alignment horizontal="center"/>
    </xf>
    <xf numFmtId="0" fontId="82" fillId="54" borderId="64" xfId="0" applyFont="1" applyFill="1" applyBorder="1" applyAlignment="1">
      <alignment horizontal="right"/>
    </xf>
    <xf numFmtId="0" fontId="99" fillId="54" borderId="0" xfId="0" applyFont="1" applyFill="1" applyAlignment="1">
      <alignment horizontal="left"/>
    </xf>
    <xf numFmtId="0" fontId="99" fillId="54" borderId="0" xfId="0" applyFont="1" applyFill="1" applyAlignment="1">
      <alignment horizontal="right"/>
    </xf>
    <xf numFmtId="0" fontId="99" fillId="54" borderId="0" xfId="0" applyFont="1" applyFill="1" applyAlignment="1">
      <alignment/>
    </xf>
    <xf numFmtId="0" fontId="97" fillId="54" borderId="0" xfId="0" applyFont="1" applyFill="1" applyAlignment="1">
      <alignment horizontal="left"/>
    </xf>
    <xf numFmtId="0" fontId="99" fillId="0" borderId="0" xfId="0" applyFont="1" applyAlignment="1">
      <alignment horizontal="right"/>
    </xf>
    <xf numFmtId="0" fontId="97" fillId="54" borderId="0" xfId="0" applyFont="1" applyFill="1" applyAlignment="1">
      <alignment horizontal="right"/>
    </xf>
    <xf numFmtId="0" fontId="99" fillId="0" borderId="0" xfId="0" applyFont="1" applyAlignment="1">
      <alignment/>
    </xf>
    <xf numFmtId="0" fontId="94" fillId="0" borderId="0" xfId="0" applyFont="1" applyFill="1" applyAlignment="1">
      <alignment horizontal="left"/>
    </xf>
    <xf numFmtId="0" fontId="94" fillId="0" borderId="0" xfId="0" applyFont="1" applyFill="1" applyAlignment="1">
      <alignment horizontal="right"/>
    </xf>
    <xf numFmtId="180" fontId="99" fillId="54" borderId="0" xfId="0" applyNumberFormat="1" applyFont="1" applyFill="1" applyAlignment="1">
      <alignment horizontal="right"/>
    </xf>
    <xf numFmtId="0" fontId="94" fillId="0" borderId="98" xfId="0" applyFont="1" applyBorder="1" applyAlignment="1">
      <alignment/>
    </xf>
    <xf numFmtId="0" fontId="94" fillId="0" borderId="0" xfId="0" applyFont="1" applyAlignment="1">
      <alignment horizontal="right"/>
    </xf>
    <xf numFmtId="0" fontId="94" fillId="54" borderId="0" xfId="0" applyFont="1" applyFill="1" applyAlignment="1">
      <alignment horizontal="right"/>
    </xf>
    <xf numFmtId="0" fontId="133" fillId="0" borderId="11" xfId="0" applyFont="1" applyFill="1" applyBorder="1" applyAlignment="1">
      <alignment horizontal="left"/>
    </xf>
    <xf numFmtId="180" fontId="94" fillId="0" borderId="11" xfId="0" applyNumberFormat="1" applyFont="1" applyFill="1" applyBorder="1" applyAlignment="1">
      <alignment horizontal="center"/>
    </xf>
    <xf numFmtId="0" fontId="133" fillId="0" borderId="11" xfId="0" applyFont="1" applyFill="1" applyBorder="1" applyAlignment="1">
      <alignment horizontal="right"/>
    </xf>
    <xf numFmtId="0" fontId="94" fillId="0" borderId="11" xfId="0" applyFont="1" applyFill="1" applyBorder="1" applyAlignment="1">
      <alignment horizontal="right"/>
    </xf>
    <xf numFmtId="0" fontId="133" fillId="54" borderId="99" xfId="0" applyFont="1" applyFill="1" applyBorder="1" applyAlignment="1">
      <alignment horizontal="left"/>
    </xf>
    <xf numFmtId="0" fontId="133" fillId="54" borderId="100" xfId="0" applyFont="1" applyFill="1" applyBorder="1" applyAlignment="1">
      <alignment horizontal="left"/>
    </xf>
    <xf numFmtId="0" fontId="133" fillId="54" borderId="100" xfId="0" applyFont="1" applyFill="1" applyBorder="1" applyAlignment="1">
      <alignment horizontal="center"/>
    </xf>
    <xf numFmtId="0" fontId="133" fillId="54" borderId="100" xfId="0" applyFont="1" applyFill="1" applyBorder="1" applyAlignment="1">
      <alignment horizontal="right"/>
    </xf>
    <xf numFmtId="0" fontId="133" fillId="54" borderId="101" xfId="0" applyFont="1" applyFill="1" applyBorder="1" applyAlignment="1">
      <alignment horizontal="right"/>
    </xf>
    <xf numFmtId="0" fontId="133" fillId="54" borderId="101" xfId="0" applyFont="1" applyFill="1" applyBorder="1" applyAlignment="1">
      <alignment horizontal="center"/>
    </xf>
    <xf numFmtId="0" fontId="99" fillId="0" borderId="0" xfId="0" applyFont="1" applyAlignment="1">
      <alignment horizontal="left"/>
    </xf>
    <xf numFmtId="4" fontId="99" fillId="0" borderId="0" xfId="0" applyNumberFormat="1" applyFont="1" applyAlignment="1">
      <alignment horizontal="right"/>
    </xf>
    <xf numFmtId="0" fontId="133" fillId="54" borderId="99" xfId="0" applyFont="1" applyFill="1" applyBorder="1" applyAlignment="1">
      <alignment horizontal="center"/>
    </xf>
    <xf numFmtId="4" fontId="82" fillId="0" borderId="24" xfId="0" applyNumberFormat="1" applyFont="1" applyBorder="1" applyAlignment="1">
      <alignment horizontal="center"/>
    </xf>
    <xf numFmtId="0" fontId="82" fillId="54" borderId="24" xfId="0" applyFont="1" applyFill="1" applyBorder="1" applyAlignment="1">
      <alignment horizontal="center"/>
    </xf>
    <xf numFmtId="43" fontId="82" fillId="54" borderId="24" xfId="18" applyFont="1" applyFill="1" applyBorder="1" applyAlignment="1">
      <alignment horizontal="center"/>
    </xf>
    <xf numFmtId="4" fontId="82" fillId="54" borderId="24" xfId="0" applyNumberFormat="1" applyFont="1" applyFill="1" applyBorder="1" applyAlignment="1">
      <alignment horizontal="center"/>
    </xf>
    <xf numFmtId="43" fontId="82" fillId="54" borderId="24" xfId="1213" applyFont="1" applyFill="1" applyBorder="1" applyAlignment="1">
      <alignment horizontal="center"/>
    </xf>
    <xf numFmtId="43" fontId="10" fillId="0" borderId="24" xfId="1336" applyNumberFormat="1" applyFont="1" applyFill="1" applyBorder="1">
      <alignment/>
      <protection/>
    </xf>
    <xf numFmtId="4" fontId="82" fillId="54" borderId="24" xfId="0" applyNumberFormat="1" applyFont="1" applyFill="1" applyBorder="1" applyAlignment="1">
      <alignment horizontal="center"/>
    </xf>
    <xf numFmtId="43" fontId="10" fillId="54" borderId="24" xfId="0" applyNumberFormat="1" applyFont="1" applyFill="1" applyBorder="1" applyAlignment="1">
      <alignment/>
    </xf>
    <xf numFmtId="192" fontId="2" fillId="0" borderId="0" xfId="0" applyNumberFormat="1" applyFont="1" applyFill="1" applyAlignment="1">
      <alignment/>
    </xf>
    <xf numFmtId="0" fontId="0" fillId="0" borderId="102" xfId="0" applyBorder="1" applyAlignment="1">
      <alignment/>
    </xf>
    <xf numFmtId="4" fontId="82" fillId="54" borderId="24" xfId="0" applyNumberFormat="1" applyFont="1" applyFill="1" applyBorder="1" applyAlignment="1">
      <alignment horizontal="center"/>
    </xf>
    <xf numFmtId="12" fontId="25" fillId="0" borderId="0" xfId="0" applyNumberFormat="1" applyFont="1" applyFill="1" applyBorder="1" applyAlignment="1">
      <alignment/>
    </xf>
    <xf numFmtId="43" fontId="121" fillId="6" borderId="31" xfId="18" applyFont="1" applyFill="1" applyBorder="1" applyAlignment="1">
      <alignment/>
    </xf>
    <xf numFmtId="43" fontId="121" fillId="6" borderId="24" xfId="1245" applyFont="1" applyFill="1" applyBorder="1" applyAlignment="1">
      <alignment/>
    </xf>
    <xf numFmtId="43" fontId="121" fillId="0" borderId="24" xfId="1245" applyFont="1" applyFill="1" applyBorder="1" applyAlignment="1">
      <alignment/>
    </xf>
    <xf numFmtId="0" fontId="82" fillId="54" borderId="24" xfId="0" applyFont="1" applyFill="1" applyBorder="1" applyAlignment="1">
      <alignment horizontal="center"/>
    </xf>
    <xf numFmtId="4" fontId="82" fillId="54" borderId="0" xfId="0" applyNumberFormat="1" applyFont="1" applyFill="1" applyAlignment="1">
      <alignment horizontal="center"/>
    </xf>
    <xf numFmtId="43" fontId="122" fillId="54" borderId="31" xfId="1244" applyFont="1" applyFill="1" applyBorder="1" applyAlignment="1">
      <alignment horizontal="right"/>
    </xf>
    <xf numFmtId="43" fontId="122" fillId="54" borderId="24" xfId="1244" applyFont="1" applyFill="1" applyBorder="1" applyAlignment="1">
      <alignment horizontal="right"/>
    </xf>
    <xf numFmtId="43" fontId="122" fillId="0" borderId="31" xfId="18" applyFont="1" applyFill="1" applyBorder="1" applyAlignment="1">
      <alignment horizontal="right"/>
    </xf>
    <xf numFmtId="43" fontId="121" fillId="0" borderId="24" xfId="0" applyNumberFormat="1" applyFont="1" applyFill="1" applyBorder="1" applyAlignment="1">
      <alignment/>
    </xf>
    <xf numFmtId="43" fontId="121" fillId="14" borderId="24" xfId="0" applyNumberFormat="1" applyFont="1" applyFill="1" applyBorder="1" applyAlignment="1">
      <alignment/>
    </xf>
    <xf numFmtId="43" fontId="121" fillId="54" borderId="24" xfId="0" applyNumberFormat="1" applyFont="1" applyFill="1" applyBorder="1" applyAlignment="1">
      <alignment/>
    </xf>
    <xf numFmtId="43" fontId="122" fillId="0" borderId="24" xfId="18" applyFont="1" applyFill="1" applyBorder="1" applyAlignment="1">
      <alignment horizontal="right"/>
    </xf>
    <xf numFmtId="43" fontId="122" fillId="7" borderId="24" xfId="18" applyFont="1" applyFill="1" applyBorder="1" applyAlignment="1">
      <alignment/>
    </xf>
    <xf numFmtId="0" fontId="15" fillId="54" borderId="0" xfId="0" applyFont="1" applyFill="1" applyBorder="1" applyAlignment="1">
      <alignment horizontal="center"/>
    </xf>
    <xf numFmtId="14" fontId="3" fillId="0" borderId="0" xfId="0" applyNumberFormat="1" applyFont="1" applyAlignment="1">
      <alignment/>
    </xf>
    <xf numFmtId="0" fontId="148" fillId="54" borderId="0" xfId="0" applyFont="1" applyFill="1" applyBorder="1" applyAlignment="1">
      <alignment/>
    </xf>
    <xf numFmtId="0" fontId="148" fillId="54" borderId="0" xfId="0" applyFont="1" applyFill="1" applyBorder="1" applyAlignment="1">
      <alignment horizontal="left"/>
    </xf>
    <xf numFmtId="178" fontId="148" fillId="4" borderId="84" xfId="0" applyNumberFormat="1" applyFont="1" applyFill="1" applyBorder="1" applyAlignment="1">
      <alignment/>
    </xf>
    <xf numFmtId="178" fontId="148" fillId="54" borderId="0" xfId="0" applyNumberFormat="1" applyFont="1" applyFill="1" applyBorder="1" applyAlignment="1">
      <alignment horizontal="center"/>
    </xf>
    <xf numFmtId="178" fontId="11" fillId="54" borderId="0" xfId="0" applyNumberFormat="1" applyFont="1" applyFill="1" applyBorder="1" applyAlignment="1">
      <alignment horizontal="center"/>
    </xf>
    <xf numFmtId="178" fontId="148" fillId="4" borderId="79" xfId="0" applyNumberFormat="1" applyFont="1" applyFill="1" applyBorder="1" applyAlignment="1">
      <alignment/>
    </xf>
    <xf numFmtId="43" fontId="3" fillId="0" borderId="0" xfId="1176" applyFont="1" applyAlignment="1">
      <alignment/>
    </xf>
    <xf numFmtId="178" fontId="148" fillId="4" borderId="0" xfId="0" applyNumberFormat="1" applyFont="1" applyFill="1" applyBorder="1" applyAlignment="1">
      <alignment/>
    </xf>
    <xf numFmtId="0" fontId="25" fillId="54" borderId="0" xfId="0" applyFont="1" applyFill="1" applyBorder="1" applyAlignment="1">
      <alignment/>
    </xf>
    <xf numFmtId="0" fontId="25" fillId="54" borderId="0" xfId="0" applyFont="1" applyFill="1" applyBorder="1" applyAlignment="1">
      <alignment horizontal="left"/>
    </xf>
    <xf numFmtId="0" fontId="25" fillId="54" borderId="0" xfId="0" applyFont="1" applyFill="1" applyBorder="1" applyAlignment="1">
      <alignment horizontal="center"/>
    </xf>
    <xf numFmtId="178" fontId="10" fillId="54" borderId="0" xfId="0" applyNumberFormat="1" applyFont="1" applyFill="1" applyBorder="1" applyAlignment="1">
      <alignment horizontal="center"/>
    </xf>
    <xf numFmtId="178" fontId="10" fillId="54" borderId="0" xfId="0" applyNumberFormat="1" applyFont="1" applyFill="1" applyBorder="1" applyAlignment="1">
      <alignment/>
    </xf>
    <xf numFmtId="43" fontId="10" fillId="54" borderId="0" xfId="1211" applyFont="1" applyFill="1" applyBorder="1" applyAlignment="1">
      <alignment horizontal="center"/>
    </xf>
    <xf numFmtId="178" fontId="3" fillId="0" borderId="0" xfId="0" applyNumberFormat="1" applyFont="1" applyAlignment="1">
      <alignment/>
    </xf>
    <xf numFmtId="0" fontId="11" fillId="55" borderId="27" xfId="0" applyFont="1" applyFill="1" applyBorder="1" applyAlignment="1">
      <alignment horizontal="center" vertical="center" wrapText="1"/>
    </xf>
    <xf numFmtId="178" fontId="11" fillId="55" borderId="2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/>
    </xf>
    <xf numFmtId="43" fontId="10" fillId="0" borderId="0" xfId="18" applyFont="1" applyFill="1" applyBorder="1" applyAlignment="1">
      <alignment horizontal="center" vertical="center" wrapText="1"/>
    </xf>
    <xf numFmtId="43" fontId="3" fillId="0" borderId="0" xfId="1176" applyFont="1" applyFill="1" applyAlignment="1">
      <alignment/>
    </xf>
    <xf numFmtId="0" fontId="11" fillId="0" borderId="0" xfId="0" applyFont="1" applyFill="1" applyBorder="1" applyAlignment="1">
      <alignment horizontal="right"/>
    </xf>
    <xf numFmtId="43" fontId="3" fillId="0" borderId="0" xfId="18" applyFont="1" applyFill="1" applyBorder="1" applyAlignment="1">
      <alignment/>
    </xf>
    <xf numFmtId="178" fontId="11" fillId="0" borderId="0" xfId="0" applyNumberFormat="1" applyFont="1" applyFill="1" applyBorder="1" applyAlignment="1">
      <alignment horizontal="left"/>
    </xf>
    <xf numFmtId="178" fontId="3" fillId="0" borderId="0" xfId="0" applyNumberFormat="1" applyFont="1" applyFill="1" applyBorder="1" applyAlignment="1">
      <alignment/>
    </xf>
    <xf numFmtId="178" fontId="11" fillId="4" borderId="103" xfId="0" applyNumberFormat="1" applyFont="1" applyFill="1" applyBorder="1" applyAlignment="1">
      <alignment/>
    </xf>
    <xf numFmtId="0" fontId="149" fillId="0" borderId="0" xfId="0" applyFont="1" applyAlignment="1">
      <alignment/>
    </xf>
    <xf numFmtId="14" fontId="165" fillId="0" borderId="0" xfId="0" applyNumberFormat="1" applyFont="1" applyAlignment="1">
      <alignment horizontal="left"/>
    </xf>
    <xf numFmtId="0" fontId="165" fillId="0" borderId="0" xfId="0" applyFont="1" applyAlignment="1">
      <alignment horizontal="left"/>
    </xf>
    <xf numFmtId="0" fontId="165" fillId="0" borderId="0" xfId="0" applyFont="1" applyAlignment="1">
      <alignment horizontal="right"/>
    </xf>
    <xf numFmtId="4" fontId="165" fillId="0" borderId="0" xfId="0" applyNumberFormat="1" applyFont="1" applyAlignment="1">
      <alignment horizontal="right"/>
    </xf>
    <xf numFmtId="14" fontId="165" fillId="60" borderId="0" xfId="0" applyNumberFormat="1" applyFont="1" applyFill="1" applyAlignment="1">
      <alignment horizontal="left"/>
    </xf>
    <xf numFmtId="0" fontId="165" fillId="60" borderId="0" xfId="0" applyFont="1" applyFill="1" applyAlignment="1">
      <alignment horizontal="left"/>
    </xf>
    <xf numFmtId="4" fontId="165" fillId="60" borderId="0" xfId="0" applyNumberFormat="1" applyFont="1" applyFill="1" applyAlignment="1">
      <alignment horizontal="right"/>
    </xf>
    <xf numFmtId="0" fontId="165" fillId="60" borderId="0" xfId="0" applyFont="1" applyFill="1" applyAlignment="1">
      <alignment horizontal="right"/>
    </xf>
    <xf numFmtId="4" fontId="165" fillId="0" borderId="24" xfId="0" applyNumberFormat="1" applyFont="1" applyBorder="1" applyAlignment="1">
      <alignment horizontal="center"/>
    </xf>
    <xf numFmtId="0" fontId="165" fillId="61" borderId="24" xfId="0" applyFont="1" applyFill="1" applyBorder="1" applyAlignment="1">
      <alignment horizontal="center"/>
    </xf>
    <xf numFmtId="43" fontId="10" fillId="61" borderId="24" xfId="18" applyFont="1" applyFill="1" applyBorder="1" applyAlignment="1">
      <alignment horizontal="center"/>
    </xf>
    <xf numFmtId="4" fontId="165" fillId="61" borderId="24" xfId="0" applyNumberFormat="1" applyFont="1" applyFill="1" applyBorder="1" applyAlignment="1">
      <alignment horizontal="center"/>
    </xf>
    <xf numFmtId="14" fontId="165" fillId="61" borderId="0" xfId="0" applyNumberFormat="1" applyFont="1" applyFill="1" applyAlignment="1">
      <alignment horizontal="left"/>
    </xf>
    <xf numFmtId="0" fontId="165" fillId="61" borderId="0" xfId="0" applyFont="1" applyFill="1" applyAlignment="1">
      <alignment horizontal="left"/>
    </xf>
    <xf numFmtId="4" fontId="165" fillId="61" borderId="0" xfId="0" applyNumberFormat="1" applyFont="1" applyFill="1" applyAlignment="1">
      <alignment horizontal="right"/>
    </xf>
    <xf numFmtId="0" fontId="165" fillId="61" borderId="0" xfId="0" applyFont="1" applyFill="1" applyAlignment="1">
      <alignment horizontal="right"/>
    </xf>
    <xf numFmtId="0" fontId="99" fillId="61" borderId="0" xfId="0" applyFont="1" applyFill="1" applyAlignment="1">
      <alignment/>
    </xf>
    <xf numFmtId="0" fontId="165" fillId="0" borderId="24" xfId="0" applyFont="1" applyBorder="1" applyAlignment="1">
      <alignment horizontal="center"/>
    </xf>
    <xf numFmtId="43" fontId="11" fillId="61" borderId="24" xfId="18" applyFont="1" applyFill="1" applyBorder="1" applyAlignment="1">
      <alignment horizontal="center"/>
    </xf>
    <xf numFmtId="0" fontId="82" fillId="61" borderId="24" xfId="0" applyNumberFormat="1" applyFont="1" applyFill="1" applyBorder="1" applyAlignment="1">
      <alignment horizontal="center"/>
    </xf>
    <xf numFmtId="0" fontId="165" fillId="61" borderId="24" xfId="0" applyFont="1" applyFill="1" applyBorder="1" applyAlignment="1">
      <alignment horizontal="center"/>
    </xf>
    <xf numFmtId="4" fontId="165" fillId="61" borderId="24" xfId="0" applyNumberFormat="1" applyFont="1" applyFill="1" applyBorder="1" applyAlignment="1">
      <alignment horizontal="center"/>
    </xf>
    <xf numFmtId="43" fontId="11" fillId="61" borderId="24" xfId="1176" applyFont="1" applyFill="1" applyBorder="1" applyAlignment="1">
      <alignment horizontal="center"/>
    </xf>
    <xf numFmtId="0" fontId="152" fillId="0" borderId="0" xfId="0" applyFont="1" applyAlignment="1">
      <alignment horizontal="center"/>
    </xf>
    <xf numFmtId="0" fontId="153" fillId="0" borderId="0" xfId="0" applyFont="1" applyFill="1" applyAlignment="1">
      <alignment/>
    </xf>
    <xf numFmtId="43" fontId="154" fillId="0" borderId="0" xfId="1202" applyFont="1" applyFill="1" applyAlignment="1">
      <alignment/>
    </xf>
    <xf numFmtId="0" fontId="155" fillId="0" borderId="0" xfId="0" applyFont="1" applyAlignment="1">
      <alignment/>
    </xf>
    <xf numFmtId="43" fontId="155" fillId="38" borderId="79" xfId="1202" applyFont="1" applyFill="1" applyBorder="1" applyAlignment="1">
      <alignment/>
    </xf>
    <xf numFmtId="43" fontId="155" fillId="0" borderId="0" xfId="1202" applyFont="1" applyAlignment="1">
      <alignment/>
    </xf>
    <xf numFmtId="43" fontId="156" fillId="0" borderId="0" xfId="1202" applyFont="1" applyAlignment="1">
      <alignment/>
    </xf>
    <xf numFmtId="43" fontId="0" fillId="54" borderId="0" xfId="0" applyNumberFormat="1" applyFont="1" applyFill="1" applyAlignment="1">
      <alignment/>
    </xf>
    <xf numFmtId="0" fontId="155" fillId="0" borderId="0" xfId="0" applyFont="1" applyBorder="1" applyAlignment="1">
      <alignment horizontal="left" wrapText="1"/>
    </xf>
    <xf numFmtId="43" fontId="156" fillId="0" borderId="0" xfId="1202" applyFont="1" applyBorder="1" applyAlignment="1">
      <alignment horizontal="right"/>
    </xf>
    <xf numFmtId="43" fontId="156" fillId="0" borderId="0" xfId="1202" applyFont="1" applyBorder="1" applyAlignment="1">
      <alignment/>
    </xf>
    <xf numFmtId="43" fontId="155" fillId="0" borderId="0" xfId="1202" applyFont="1" applyFill="1" applyBorder="1" applyAlignment="1">
      <alignment/>
    </xf>
    <xf numFmtId="43" fontId="156" fillId="0" borderId="84" xfId="1202" applyFont="1" applyBorder="1" applyAlignment="1">
      <alignment horizontal="right"/>
    </xf>
    <xf numFmtId="43" fontId="155" fillId="0" borderId="0" xfId="1202" applyFont="1" applyBorder="1" applyAlignment="1">
      <alignment horizontal="right"/>
    </xf>
    <xf numFmtId="0" fontId="155" fillId="0" borderId="0" xfId="0" applyFont="1" applyBorder="1" applyAlignment="1">
      <alignment/>
    </xf>
    <xf numFmtId="0" fontId="155" fillId="0" borderId="0" xfId="0" applyFont="1" applyAlignment="1">
      <alignment horizontal="left" wrapText="1"/>
    </xf>
    <xf numFmtId="43" fontId="155" fillId="0" borderId="0" xfId="0" applyNumberFormat="1" applyFont="1" applyAlignment="1">
      <alignment/>
    </xf>
    <xf numFmtId="4" fontId="156" fillId="0" borderId="0" xfId="0" applyNumberFormat="1" applyFont="1" applyAlignment="1">
      <alignment horizontal="right"/>
    </xf>
    <xf numFmtId="43" fontId="155" fillId="38" borderId="0" xfId="1202" applyFont="1" applyFill="1" applyBorder="1" applyAlignment="1">
      <alignment/>
    </xf>
    <xf numFmtId="0" fontId="155" fillId="0" borderId="0" xfId="0" applyFont="1" applyFill="1" applyAlignment="1">
      <alignment/>
    </xf>
    <xf numFmtId="43" fontId="156" fillId="0" borderId="0" xfId="1202" applyFont="1" applyFill="1" applyAlignment="1">
      <alignment/>
    </xf>
    <xf numFmtId="43" fontId="155" fillId="0" borderId="84" xfId="1202" applyFont="1" applyBorder="1" applyAlignment="1">
      <alignment/>
    </xf>
    <xf numFmtId="0" fontId="156" fillId="0" borderId="0" xfId="0" applyFont="1" applyAlignment="1">
      <alignment/>
    </xf>
    <xf numFmtId="0" fontId="157" fillId="0" borderId="0" xfId="0" applyFont="1" applyAlignment="1">
      <alignment/>
    </xf>
    <xf numFmtId="43" fontId="155" fillId="0" borderId="0" xfId="1202" applyFont="1" applyBorder="1" applyAlignment="1">
      <alignment/>
    </xf>
    <xf numFmtId="43" fontId="156" fillId="0" borderId="84" xfId="1202" applyFont="1" applyBorder="1" applyAlignment="1">
      <alignment/>
    </xf>
    <xf numFmtId="0" fontId="158" fillId="0" borderId="0" xfId="0" applyFont="1" applyAlignment="1">
      <alignment/>
    </xf>
    <xf numFmtId="0" fontId="159" fillId="0" borderId="0" xfId="0" applyFont="1" applyAlignment="1">
      <alignment/>
    </xf>
    <xf numFmtId="0" fontId="160" fillId="0" borderId="0" xfId="0" applyFont="1" applyAlignment="1">
      <alignment/>
    </xf>
    <xf numFmtId="0" fontId="161" fillId="0" borderId="0" xfId="0" applyFont="1" applyAlignment="1">
      <alignment/>
    </xf>
    <xf numFmtId="4" fontId="165" fillId="61" borderId="0" xfId="0" applyNumberFormat="1" applyFont="1" applyFill="1" applyAlignment="1">
      <alignment horizontal="center"/>
    </xf>
    <xf numFmtId="43" fontId="163" fillId="7" borderId="24" xfId="18" applyFont="1" applyFill="1" applyBorder="1" applyAlignment="1">
      <alignment/>
    </xf>
    <xf numFmtId="43" fontId="163" fillId="57" borderId="31" xfId="18" applyFont="1" applyFill="1" applyBorder="1" applyAlignment="1">
      <alignment/>
    </xf>
    <xf numFmtId="43" fontId="163" fillId="7" borderId="24" xfId="25" applyNumberFormat="1" applyFont="1" applyBorder="1" applyAlignment="1">
      <alignment/>
    </xf>
    <xf numFmtId="43" fontId="163" fillId="0" borderId="24" xfId="18" applyFont="1" applyFill="1" applyBorder="1" applyAlignment="1">
      <alignment/>
    </xf>
    <xf numFmtId="43" fontId="164" fillId="57" borderId="24" xfId="18" applyFont="1" applyFill="1" applyBorder="1" applyAlignment="1">
      <alignment/>
    </xf>
    <xf numFmtId="43" fontId="163" fillId="0" borderId="31" xfId="18" applyFont="1" applyFill="1" applyBorder="1" applyAlignment="1">
      <alignment/>
    </xf>
    <xf numFmtId="43" fontId="164" fillId="57" borderId="31" xfId="18" applyFont="1" applyFill="1" applyBorder="1" applyAlignment="1">
      <alignment/>
    </xf>
    <xf numFmtId="43" fontId="164" fillId="0" borderId="24" xfId="18" applyFont="1" applyFill="1" applyBorder="1" applyAlignment="1">
      <alignment/>
    </xf>
    <xf numFmtId="43" fontId="164" fillId="6" borderId="24" xfId="1245" applyFont="1" applyFill="1" applyBorder="1" applyAlignment="1">
      <alignment/>
    </xf>
    <xf numFmtId="43" fontId="164" fillId="0" borderId="24" xfId="1245" applyFont="1" applyFill="1" applyBorder="1" applyAlignment="1">
      <alignment/>
    </xf>
    <xf numFmtId="43" fontId="164" fillId="57" borderId="24" xfId="1245" applyFont="1" applyFill="1" applyBorder="1" applyAlignment="1">
      <alignment/>
    </xf>
    <xf numFmtId="43" fontId="163" fillId="57" borderId="24" xfId="18" applyFont="1" applyFill="1" applyBorder="1" applyAlignment="1">
      <alignment/>
    </xf>
    <xf numFmtId="43" fontId="164" fillId="14" borderId="24" xfId="1245" applyFont="1" applyFill="1" applyBorder="1" applyAlignment="1">
      <alignment/>
    </xf>
    <xf numFmtId="43" fontId="164" fillId="54" borderId="24" xfId="1245" applyFont="1" applyFill="1" applyBorder="1" applyAlignment="1">
      <alignment/>
    </xf>
    <xf numFmtId="43" fontId="163" fillId="7" borderId="70" xfId="25" applyNumberFormat="1" applyFont="1" applyBorder="1" applyAlignment="1">
      <alignment/>
    </xf>
    <xf numFmtId="43" fontId="163" fillId="57" borderId="70" xfId="18" applyFont="1" applyFill="1" applyBorder="1" applyAlignment="1">
      <alignment/>
    </xf>
    <xf numFmtId="43" fontId="163" fillId="7" borderId="70" xfId="18" applyFont="1" applyFill="1" applyBorder="1" applyAlignment="1">
      <alignment/>
    </xf>
    <xf numFmtId="4" fontId="82" fillId="61" borderId="31" xfId="0" applyNumberFormat="1" applyFont="1" applyFill="1" applyBorder="1" applyAlignment="1">
      <alignment horizontal="center"/>
    </xf>
    <xf numFmtId="0" fontId="82" fillId="61" borderId="24" xfId="1331" applyNumberFormat="1" applyFont="1" applyFill="1" applyBorder="1" applyAlignment="1">
      <alignment horizontal="center"/>
      <protection/>
    </xf>
    <xf numFmtId="0" fontId="0" fillId="61" borderId="24" xfId="0" applyFill="1" applyBorder="1" applyAlignment="1">
      <alignment horizontal="center"/>
    </xf>
    <xf numFmtId="0" fontId="99" fillId="0" borderId="0" xfId="0" applyFont="1" applyAlignment="1">
      <alignment horizontal="left"/>
    </xf>
    <xf numFmtId="0" fontId="106" fillId="61" borderId="24" xfId="0" applyFont="1" applyFill="1" applyBorder="1" applyAlignment="1">
      <alignment horizontal="center"/>
    </xf>
    <xf numFmtId="43" fontId="82" fillId="61" borderId="24" xfId="1213" applyFont="1" applyFill="1" applyBorder="1" applyAlignment="1">
      <alignment horizontal="center"/>
    </xf>
    <xf numFmtId="43" fontId="46" fillId="61" borderId="24" xfId="1213" applyFont="1" applyFill="1" applyBorder="1" applyAlignment="1">
      <alignment horizontal="center"/>
    </xf>
    <xf numFmtId="43" fontId="82" fillId="61" borderId="24" xfId="18" applyFont="1" applyFill="1" applyBorder="1" applyAlignment="1">
      <alignment horizontal="center"/>
    </xf>
    <xf numFmtId="43" fontId="0" fillId="61" borderId="24" xfId="1213" applyFont="1" applyFill="1" applyBorder="1" applyAlignment="1">
      <alignment horizontal="center"/>
    </xf>
    <xf numFmtId="0" fontId="82" fillId="61" borderId="24" xfId="1331" applyFont="1" applyFill="1" applyBorder="1" applyAlignment="1">
      <alignment horizontal="center"/>
      <protection/>
    </xf>
    <xf numFmtId="0" fontId="82" fillId="54" borderId="87" xfId="1331" applyFont="1" applyFill="1" applyBorder="1" applyAlignment="1">
      <alignment horizontal="center"/>
      <protection/>
    </xf>
    <xf numFmtId="0" fontId="75" fillId="54" borderId="24" xfId="0" applyFont="1" applyFill="1" applyBorder="1" applyAlignment="1">
      <alignment wrapText="1"/>
    </xf>
    <xf numFmtId="0" fontId="22" fillId="0" borderId="0" xfId="0" applyFont="1" applyFill="1" applyAlignment="1">
      <alignment horizontal="center"/>
    </xf>
    <xf numFmtId="0" fontId="95" fillId="0" borderId="0" xfId="1345" applyFont="1" applyAlignment="1">
      <alignment horizontal="center"/>
      <protection/>
    </xf>
    <xf numFmtId="0" fontId="94" fillId="0" borderId="0" xfId="1345" applyFont="1" applyFill="1">
      <alignment/>
      <protection/>
    </xf>
    <xf numFmtId="0" fontId="94" fillId="0" borderId="0" xfId="0" applyFont="1" applyAlignment="1">
      <alignment/>
    </xf>
    <xf numFmtId="0" fontId="94" fillId="0" borderId="0" xfId="0" applyFont="1" applyFill="1" applyAlignment="1">
      <alignment/>
    </xf>
    <xf numFmtId="0" fontId="95" fillId="0" borderId="0" xfId="0" applyFont="1" applyAlignment="1">
      <alignment horizontal="center"/>
    </xf>
    <xf numFmtId="0" fontId="95" fillId="0" borderId="0" xfId="0" applyFont="1" applyAlignment="1">
      <alignment/>
    </xf>
    <xf numFmtId="43" fontId="94" fillId="0" borderId="0" xfId="1345" applyNumberFormat="1" applyFont="1">
      <alignment/>
      <protection/>
    </xf>
    <xf numFmtId="0" fontId="95" fillId="0" borderId="0" xfId="1345" applyFont="1" applyAlignment="1">
      <alignment/>
      <protection/>
    </xf>
    <xf numFmtId="43" fontId="94" fillId="0" borderId="0" xfId="0" applyNumberFormat="1" applyFont="1" applyFill="1" applyAlignment="1">
      <alignment/>
    </xf>
    <xf numFmtId="43" fontId="95" fillId="0" borderId="0" xfId="0" applyNumberFormat="1" applyFont="1" applyFill="1" applyAlignment="1">
      <alignment/>
    </xf>
    <xf numFmtId="0" fontId="94" fillId="0" borderId="99" xfId="0" applyFont="1" applyFill="1" applyBorder="1" applyAlignment="1">
      <alignment horizontal="center"/>
    </xf>
    <xf numFmtId="0" fontId="94" fillId="0" borderId="101" xfId="0" applyFont="1" applyFill="1" applyBorder="1" applyAlignment="1">
      <alignment horizontal="center"/>
    </xf>
    <xf numFmtId="0" fontId="94" fillId="0" borderId="104" xfId="0" applyFont="1" applyBorder="1" applyAlignment="1">
      <alignment horizontal="center"/>
    </xf>
    <xf numFmtId="0" fontId="94" fillId="0" borderId="98" xfId="0" applyFont="1" applyBorder="1" applyAlignment="1">
      <alignment horizontal="center"/>
    </xf>
    <xf numFmtId="0" fontId="133" fillId="62" borderId="104" xfId="0" applyFont="1" applyFill="1" applyBorder="1" applyAlignment="1">
      <alignment horizontal="left"/>
    </xf>
    <xf numFmtId="0" fontId="133" fillId="62" borderId="105" xfId="0" applyFont="1" applyFill="1" applyBorder="1" applyAlignment="1">
      <alignment horizontal="left"/>
    </xf>
    <xf numFmtId="0" fontId="133" fillId="62" borderId="98" xfId="0" applyFont="1" applyFill="1" applyBorder="1" applyAlignment="1">
      <alignment horizontal="left"/>
    </xf>
    <xf numFmtId="0" fontId="133" fillId="54" borderId="99" xfId="0" applyFont="1" applyFill="1" applyBorder="1" applyAlignment="1">
      <alignment horizontal="center"/>
    </xf>
    <xf numFmtId="0" fontId="133" fillId="54" borderId="100" xfId="0" applyFont="1" applyFill="1" applyBorder="1" applyAlignment="1">
      <alignment horizontal="center"/>
    </xf>
    <xf numFmtId="0" fontId="133" fillId="54" borderId="101" xfId="0" applyFont="1" applyFill="1" applyBorder="1" applyAlignment="1">
      <alignment horizontal="center"/>
    </xf>
    <xf numFmtId="0" fontId="133" fillId="54" borderId="106" xfId="0" applyFont="1" applyFill="1" applyBorder="1" applyAlignment="1">
      <alignment horizontal="center"/>
    </xf>
    <xf numFmtId="0" fontId="133" fillId="54" borderId="107" xfId="0" applyFont="1" applyFill="1" applyBorder="1" applyAlignment="1">
      <alignment horizontal="center"/>
    </xf>
    <xf numFmtId="0" fontId="133" fillId="54" borderId="108" xfId="0" applyFont="1" applyFill="1" applyBorder="1" applyAlignment="1">
      <alignment horizontal="center"/>
    </xf>
    <xf numFmtId="0" fontId="133" fillId="54" borderId="106" xfId="0" applyFont="1" applyFill="1" applyBorder="1" applyAlignment="1" applyProtection="1">
      <alignment horizontal="center"/>
      <protection locked="0"/>
    </xf>
    <xf numFmtId="0" fontId="133" fillId="54" borderId="108" xfId="0" applyFont="1" applyFill="1" applyBorder="1" applyAlignment="1" applyProtection="1">
      <alignment horizontal="center"/>
      <protection locked="0"/>
    </xf>
    <xf numFmtId="0" fontId="94" fillId="0" borderId="105" xfId="0" applyFont="1" applyBorder="1" applyAlignment="1">
      <alignment horizontal="center"/>
    </xf>
    <xf numFmtId="0" fontId="133" fillId="54" borderId="99" xfId="0" applyFont="1" applyFill="1" applyBorder="1" applyAlignment="1" applyProtection="1">
      <alignment horizontal="center"/>
      <protection locked="0"/>
    </xf>
    <xf numFmtId="0" fontId="133" fillId="54" borderId="101" xfId="0" applyFont="1" applyFill="1" applyBorder="1" applyAlignment="1" applyProtection="1">
      <alignment horizontal="center"/>
      <protection locked="0"/>
    </xf>
    <xf numFmtId="0" fontId="135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93" fillId="0" borderId="0" xfId="0" applyFont="1" applyAlignment="1">
      <alignment horizontal="center"/>
    </xf>
    <xf numFmtId="0" fontId="150" fillId="0" borderId="0" xfId="0" applyFont="1" applyAlignment="1">
      <alignment horizontal="center"/>
    </xf>
    <xf numFmtId="0" fontId="151" fillId="0" borderId="0" xfId="0" applyFont="1" applyAlignment="1">
      <alignment horizontal="center" wrapText="1"/>
    </xf>
    <xf numFmtId="0" fontId="151" fillId="0" borderId="0" xfId="0" applyFont="1" applyAlignment="1">
      <alignment horizontal="center"/>
    </xf>
    <xf numFmtId="0" fontId="155" fillId="0" borderId="0" xfId="0" applyFont="1" applyBorder="1" applyAlignment="1">
      <alignment horizontal="left" wrapText="1"/>
    </xf>
    <xf numFmtId="0" fontId="75" fillId="0" borderId="0" xfId="0" applyFont="1" applyBorder="1" applyAlignment="1">
      <alignment horizontal="left" vertical="center" wrapText="1"/>
    </xf>
    <xf numFmtId="0" fontId="38" fillId="41" borderId="0" xfId="0" applyFont="1" applyFill="1" applyBorder="1" applyAlignment="1">
      <alignment horizontal="left"/>
    </xf>
    <xf numFmtId="0" fontId="39" fillId="41" borderId="0" xfId="0" applyFont="1" applyFill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26" borderId="73" xfId="0" applyFont="1" applyFill="1" applyBorder="1" applyAlignment="1">
      <alignment horizontal="center"/>
    </xf>
    <xf numFmtId="0" fontId="11" fillId="26" borderId="109" xfId="0" applyFont="1" applyFill="1" applyBorder="1" applyAlignment="1">
      <alignment horizontal="center"/>
    </xf>
    <xf numFmtId="0" fontId="11" fillId="26" borderId="110" xfId="0" applyFont="1" applyFill="1" applyBorder="1" applyAlignment="1">
      <alignment horizontal="center"/>
    </xf>
    <xf numFmtId="0" fontId="11" fillId="7" borderId="73" xfId="0" applyFont="1" applyFill="1" applyBorder="1" applyAlignment="1">
      <alignment horizontal="center"/>
    </xf>
    <xf numFmtId="0" fontId="11" fillId="7" borderId="109" xfId="0" applyFont="1" applyFill="1" applyBorder="1" applyAlignment="1">
      <alignment horizontal="center"/>
    </xf>
    <xf numFmtId="0" fontId="11" fillId="7" borderId="110" xfId="0" applyFont="1" applyFill="1" applyBorder="1" applyAlignment="1">
      <alignment horizontal="center"/>
    </xf>
    <xf numFmtId="17" fontId="11" fillId="0" borderId="0" xfId="0" applyNumberFormat="1" applyFont="1" applyBorder="1" applyAlignment="1">
      <alignment horizontal="center"/>
    </xf>
    <xf numFmtId="0" fontId="35" fillId="57" borderId="0" xfId="0" applyFont="1" applyFill="1" applyAlignment="1">
      <alignment horizontal="center"/>
    </xf>
    <xf numFmtId="0" fontId="36" fillId="57" borderId="0" xfId="0" applyFont="1" applyFill="1" applyAlignment="1">
      <alignment horizontal="center"/>
    </xf>
    <xf numFmtId="0" fontId="37" fillId="57" borderId="0" xfId="0" applyFont="1" applyFill="1" applyAlignment="1">
      <alignment horizontal="center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48" fillId="0" borderId="27" xfId="0" applyFont="1" applyBorder="1" applyAlignment="1">
      <alignment horizontal="left"/>
    </xf>
    <xf numFmtId="0" fontId="25" fillId="56" borderId="0" xfId="0" applyFont="1" applyFill="1" applyAlignment="1">
      <alignment horizontal="center"/>
    </xf>
    <xf numFmtId="0" fontId="25" fillId="5" borderId="0" xfId="0" applyFont="1" applyFill="1" applyAlignment="1">
      <alignment horizontal="center"/>
    </xf>
    <xf numFmtId="0" fontId="10" fillId="0" borderId="27" xfId="0" applyFont="1" applyBorder="1" applyAlignment="1">
      <alignment horizontal="center"/>
    </xf>
    <xf numFmtId="49" fontId="31" fillId="0" borderId="0" xfId="0" applyNumberFormat="1" applyFont="1" applyAlignment="1">
      <alignment horizontal="center"/>
    </xf>
    <xf numFmtId="0" fontId="8" fillId="6" borderId="31" xfId="0" applyFont="1" applyFill="1" applyBorder="1" applyAlignment="1">
      <alignment horizontal="center" vertical="center" wrapText="1"/>
    </xf>
    <xf numFmtId="0" fontId="8" fillId="6" borderId="35" xfId="0" applyFont="1" applyFill="1" applyBorder="1" applyAlignment="1">
      <alignment horizontal="center" vertical="center" wrapText="1"/>
    </xf>
    <xf numFmtId="0" fontId="8" fillId="14" borderId="109" xfId="0" applyFont="1" applyFill="1" applyBorder="1" applyAlignment="1">
      <alignment horizontal="center" vertical="center" wrapText="1"/>
    </xf>
    <xf numFmtId="0" fontId="8" fillId="14" borderId="63" xfId="0" applyFont="1" applyFill="1" applyBorder="1" applyAlignment="1">
      <alignment horizontal="center" vertical="center" wrapText="1"/>
    </xf>
    <xf numFmtId="0" fontId="8" fillId="14" borderId="73" xfId="0" applyFont="1" applyFill="1" applyBorder="1" applyAlignment="1">
      <alignment horizontal="center" vertical="center" wrapText="1"/>
    </xf>
    <xf numFmtId="0" fontId="8" fillId="6" borderId="67" xfId="0" applyFont="1" applyFill="1" applyBorder="1" applyAlignment="1">
      <alignment horizontal="center" vertical="center" wrapText="1"/>
    </xf>
    <xf numFmtId="0" fontId="8" fillId="6" borderId="36" xfId="0" applyFont="1" applyFill="1" applyBorder="1" applyAlignment="1">
      <alignment horizontal="center" vertical="center" wrapText="1"/>
    </xf>
    <xf numFmtId="0" fontId="145" fillId="0" borderId="0" xfId="1345" applyFont="1" applyAlignment="1">
      <alignment horizontal="center"/>
      <protection/>
    </xf>
    <xf numFmtId="0" fontId="130" fillId="0" borderId="0" xfId="0" applyFont="1" applyFill="1" applyAlignment="1">
      <alignment horizontal="center"/>
    </xf>
    <xf numFmtId="49" fontId="102" fillId="0" borderId="0" xfId="0" applyNumberFormat="1" applyFont="1" applyFill="1" applyBorder="1" applyAlignment="1">
      <alignment horizontal="left" wrapText="1"/>
    </xf>
    <xf numFmtId="0" fontId="115" fillId="0" borderId="0" xfId="0" applyFont="1" applyFill="1" applyAlignment="1">
      <alignment horizontal="center"/>
    </xf>
    <xf numFmtId="0" fontId="102" fillId="6" borderId="31" xfId="0" applyFont="1" applyFill="1" applyBorder="1" applyAlignment="1">
      <alignment horizontal="center" vertical="center" textRotation="90" wrapText="1"/>
    </xf>
    <xf numFmtId="0" fontId="93" fillId="6" borderId="35" xfId="0" applyFont="1" applyFill="1" applyBorder="1" applyAlignment="1">
      <alignment horizontal="center" vertical="center" textRotation="90" wrapText="1"/>
    </xf>
    <xf numFmtId="0" fontId="102" fillId="6" borderId="24" xfId="0" applyFont="1" applyFill="1" applyBorder="1" applyAlignment="1">
      <alignment horizontal="center" vertical="center" wrapText="1"/>
    </xf>
    <xf numFmtId="0" fontId="106" fillId="6" borderId="24" xfId="0" applyFont="1" applyFill="1" applyBorder="1" applyAlignment="1">
      <alignment horizontal="center" vertical="center" wrapText="1"/>
    </xf>
    <xf numFmtId="0" fontId="102" fillId="6" borderId="67" xfId="0" applyFont="1" applyFill="1" applyBorder="1" applyAlignment="1">
      <alignment horizontal="center" vertical="center" wrapText="1"/>
    </xf>
    <xf numFmtId="0" fontId="102" fillId="6" borderId="36" xfId="0" applyFont="1" applyFill="1" applyBorder="1" applyAlignment="1">
      <alignment horizontal="center" vertical="center" wrapText="1"/>
    </xf>
    <xf numFmtId="0" fontId="146" fillId="0" borderId="0" xfId="0" applyFont="1" applyAlignment="1">
      <alignment horizontal="center"/>
    </xf>
    <xf numFmtId="0" fontId="102" fillId="6" borderId="110" xfId="0" applyFont="1" applyFill="1" applyBorder="1" applyAlignment="1">
      <alignment horizontal="center" vertical="center" wrapText="1"/>
    </xf>
    <xf numFmtId="0" fontId="102" fillId="6" borderId="111" xfId="0" applyFont="1" applyFill="1" applyBorder="1" applyAlignment="1">
      <alignment horizontal="center" vertical="center" wrapText="1"/>
    </xf>
    <xf numFmtId="0" fontId="102" fillId="6" borderId="45" xfId="0" applyFont="1" applyFill="1" applyBorder="1" applyAlignment="1">
      <alignment horizontal="center" vertical="center" wrapText="1"/>
    </xf>
    <xf numFmtId="0" fontId="102" fillId="6" borderId="60" xfId="0" applyFont="1" applyFill="1" applyBorder="1" applyAlignment="1">
      <alignment horizontal="center" vertical="center" wrapText="1"/>
    </xf>
    <xf numFmtId="0" fontId="137" fillId="0" borderId="0" xfId="0" applyFont="1" applyFill="1" applyAlignment="1">
      <alignment horizontal="center"/>
    </xf>
    <xf numFmtId="0" fontId="138" fillId="0" borderId="0" xfId="0" applyFont="1" applyFill="1" applyAlignment="1">
      <alignment horizontal="center"/>
    </xf>
    <xf numFmtId="0" fontId="121" fillId="0" borderId="0" xfId="0" applyFont="1" applyBorder="1" applyAlignment="1">
      <alignment horizontal="left" vertical="center" wrapText="1"/>
    </xf>
    <xf numFmtId="0" fontId="121" fillId="0" borderId="80" xfId="0" applyFont="1" applyBorder="1" applyAlignment="1">
      <alignment horizontal="left" vertical="center" wrapText="1"/>
    </xf>
    <xf numFmtId="0" fontId="121" fillId="0" borderId="0" xfId="0" applyFont="1" applyFill="1" applyBorder="1" applyAlignment="1">
      <alignment horizontal="center"/>
    </xf>
    <xf numFmtId="0" fontId="94" fillId="0" borderId="0" xfId="0" applyFont="1" applyFill="1" applyBorder="1" applyAlignment="1">
      <alignment horizontal="center"/>
    </xf>
    <xf numFmtId="0" fontId="121" fillId="6" borderId="31" xfId="0" applyFont="1" applyFill="1" applyBorder="1" applyAlignment="1">
      <alignment horizontal="center" vertical="center" wrapText="1"/>
    </xf>
    <xf numFmtId="0" fontId="121" fillId="6" borderId="35" xfId="0" applyFont="1" applyFill="1" applyBorder="1" applyAlignment="1">
      <alignment horizontal="center" vertical="center" wrapText="1"/>
    </xf>
    <xf numFmtId="0" fontId="121" fillId="6" borderId="24" xfId="0" applyFont="1" applyFill="1" applyBorder="1" applyAlignment="1">
      <alignment horizontal="center" vertical="center" wrapText="1"/>
    </xf>
    <xf numFmtId="0" fontId="94" fillId="6" borderId="24" xfId="0" applyFont="1" applyFill="1" applyBorder="1" applyAlignment="1">
      <alignment horizontal="center" vertical="center" wrapText="1"/>
    </xf>
    <xf numFmtId="49" fontId="121" fillId="0" borderId="0" xfId="0" applyNumberFormat="1" applyFont="1" applyFill="1" applyBorder="1" applyAlignment="1">
      <alignment horizontal="left" wrapText="1"/>
    </xf>
    <xf numFmtId="0" fontId="120" fillId="0" borderId="0" xfId="0" applyFont="1" applyBorder="1" applyAlignment="1">
      <alignment horizontal="left" vertical="center" wrapText="1"/>
    </xf>
    <xf numFmtId="0" fontId="121" fillId="7" borderId="112" xfId="0" applyFont="1" applyFill="1" applyBorder="1" applyAlignment="1">
      <alignment horizontal="center" vertical="center" wrapText="1"/>
    </xf>
    <xf numFmtId="0" fontId="121" fillId="7" borderId="113" xfId="0" applyFont="1" applyFill="1" applyBorder="1" applyAlignment="1">
      <alignment horizontal="center" vertical="center" wrapText="1"/>
    </xf>
    <xf numFmtId="0" fontId="121" fillId="7" borderId="49" xfId="0" applyFont="1" applyFill="1" applyBorder="1" applyAlignment="1">
      <alignment horizontal="center" vertical="center" wrapText="1"/>
    </xf>
    <xf numFmtId="0" fontId="140" fillId="0" borderId="0" xfId="0" applyFont="1" applyFill="1" applyAlignment="1">
      <alignment horizontal="center"/>
    </xf>
    <xf numFmtId="49" fontId="121" fillId="54" borderId="0" xfId="0" applyNumberFormat="1" applyFont="1" applyFill="1" applyBorder="1" applyAlignment="1">
      <alignment horizontal="center" wrapText="1"/>
    </xf>
    <xf numFmtId="49" fontId="121" fillId="0" borderId="80" xfId="0" applyNumberFormat="1" applyFont="1" applyFill="1" applyBorder="1" applyAlignment="1">
      <alignment horizontal="left" wrapText="1"/>
    </xf>
    <xf numFmtId="0" fontId="121" fillId="6" borderId="45" xfId="0" applyFont="1" applyFill="1" applyBorder="1" applyAlignment="1">
      <alignment horizontal="center" vertical="center" wrapText="1"/>
    </xf>
    <xf numFmtId="0" fontId="121" fillId="6" borderId="60" xfId="0" applyFont="1" applyFill="1" applyBorder="1" applyAlignment="1">
      <alignment horizontal="center" vertical="center" wrapText="1"/>
    </xf>
    <xf numFmtId="0" fontId="139" fillId="0" borderId="0" xfId="0" applyFont="1" applyFill="1" applyAlignment="1">
      <alignment horizontal="center"/>
    </xf>
    <xf numFmtId="0" fontId="122" fillId="0" borderId="0" xfId="0" applyFont="1" applyFill="1" applyAlignment="1">
      <alignment horizontal="center"/>
    </xf>
    <xf numFmtId="0" fontId="121" fillId="6" borderId="31" xfId="0" applyFont="1" applyFill="1" applyBorder="1" applyAlignment="1">
      <alignment horizontal="center" vertical="center" textRotation="90" wrapText="1"/>
    </xf>
    <xf numFmtId="0" fontId="95" fillId="6" borderId="35" xfId="0" applyFont="1" applyFill="1" applyBorder="1" applyAlignment="1">
      <alignment horizontal="center" vertical="center" textRotation="90" wrapText="1"/>
    </xf>
    <xf numFmtId="0" fontId="121" fillId="7" borderId="114" xfId="0" applyFont="1" applyFill="1" applyBorder="1" applyAlignment="1">
      <alignment horizontal="center" vertical="center" wrapText="1"/>
    </xf>
    <xf numFmtId="43" fontId="121" fillId="0" borderId="0" xfId="1345" applyNumberFormat="1" applyFont="1" applyAlignment="1">
      <alignment horizontal="center"/>
      <protection/>
    </xf>
    <xf numFmtId="0" fontId="121" fillId="0" borderId="0" xfId="1345" applyFont="1" applyAlignment="1">
      <alignment horizontal="center"/>
      <protection/>
    </xf>
    <xf numFmtId="43" fontId="132" fillId="0" borderId="0" xfId="1345" applyNumberFormat="1" applyFont="1" applyAlignment="1">
      <alignment horizontal="center"/>
      <protection/>
    </xf>
    <xf numFmtId="0" fontId="132" fillId="0" borderId="0" xfId="1345" applyFont="1" applyAlignment="1">
      <alignment horizontal="center"/>
      <protection/>
    </xf>
    <xf numFmtId="43" fontId="95" fillId="0" borderId="0" xfId="1345" applyNumberFormat="1" applyFont="1" applyAlignment="1">
      <alignment horizontal="center"/>
      <protection/>
    </xf>
    <xf numFmtId="0" fontId="95" fillId="0" borderId="0" xfId="1345" applyFont="1" applyAlignment="1">
      <alignment horizontal="center"/>
      <protection/>
    </xf>
    <xf numFmtId="0" fontId="120" fillId="0" borderId="80" xfId="0" applyFont="1" applyBorder="1" applyAlignment="1">
      <alignment horizontal="left" vertical="center" wrapText="1"/>
    </xf>
    <xf numFmtId="0" fontId="141" fillId="0" borderId="0" xfId="0" applyFont="1" applyBorder="1" applyAlignment="1">
      <alignment horizontal="left" wrapText="1"/>
    </xf>
    <xf numFmtId="0" fontId="141" fillId="0" borderId="58" xfId="0" applyFont="1" applyBorder="1" applyAlignment="1">
      <alignment horizontal="left" wrapText="1"/>
    </xf>
    <xf numFmtId="0" fontId="141" fillId="0" borderId="0" xfId="0" applyFont="1" applyBorder="1" applyAlignment="1">
      <alignment horizontal="left"/>
    </xf>
    <xf numFmtId="0" fontId="120" fillId="0" borderId="0" xfId="0" applyFont="1" applyBorder="1" applyAlignment="1">
      <alignment horizontal="left"/>
    </xf>
    <xf numFmtId="0" fontId="97" fillId="0" borderId="0" xfId="0" applyFont="1" applyBorder="1" applyAlignment="1">
      <alignment horizontal="left" wrapText="1"/>
    </xf>
    <xf numFmtId="49" fontId="147" fillId="0" borderId="0" xfId="0" applyNumberFormat="1" applyFont="1" applyFill="1" applyBorder="1" applyAlignment="1">
      <alignment horizontal="left" wrapText="1"/>
    </xf>
    <xf numFmtId="49" fontId="117" fillId="0" borderId="0" xfId="0" applyNumberFormat="1" applyFont="1" applyFill="1" applyBorder="1" applyAlignment="1">
      <alignment horizontal="left" wrapText="1"/>
    </xf>
    <xf numFmtId="0" fontId="142" fillId="0" borderId="0" xfId="0" applyFont="1" applyAlignment="1">
      <alignment horizontal="left"/>
    </xf>
    <xf numFmtId="0" fontId="142" fillId="0" borderId="0" xfId="0" applyFont="1" applyBorder="1" applyAlignment="1">
      <alignment horizontal="left"/>
    </xf>
    <xf numFmtId="0" fontId="95" fillId="0" borderId="0" xfId="1345" applyFont="1" applyAlignment="1">
      <alignment horizontal="center"/>
      <protection/>
    </xf>
    <xf numFmtId="0" fontId="96" fillId="0" borderId="0" xfId="0" applyFont="1" applyBorder="1" applyAlignment="1">
      <alignment horizontal="left"/>
    </xf>
    <xf numFmtId="0" fontId="120" fillId="0" borderId="0" xfId="0" applyFont="1" applyBorder="1" applyAlignment="1">
      <alignment horizontal="left" wrapText="1"/>
    </xf>
    <xf numFmtId="0" fontId="133" fillId="0" borderId="0" xfId="0" applyFont="1" applyBorder="1" applyAlignment="1">
      <alignment horizontal="left"/>
    </xf>
    <xf numFmtId="0" fontId="97" fillId="0" borderId="0" xfId="0" applyFont="1" applyBorder="1" applyAlignment="1">
      <alignment horizontal="left"/>
    </xf>
    <xf numFmtId="49" fontId="120" fillId="0" borderId="0" xfId="0" applyNumberFormat="1" applyFont="1" applyFill="1" applyBorder="1" applyAlignment="1">
      <alignment horizontal="left" wrapText="1"/>
    </xf>
    <xf numFmtId="0" fontId="120" fillId="0" borderId="58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Border="1" applyAlignment="1">
      <alignment horizontal="center"/>
    </xf>
    <xf numFmtId="0" fontId="18" fillId="0" borderId="45" xfId="0" applyFont="1" applyBorder="1" applyAlignment="1">
      <alignment horizontal="center" vertical="top" textRotation="90"/>
    </xf>
    <xf numFmtId="0" fontId="0" fillId="0" borderId="83" xfId="0" applyBorder="1" applyAlignment="1">
      <alignment horizontal="center" vertical="top" textRotation="90"/>
    </xf>
    <xf numFmtId="0" fontId="4" fillId="0" borderId="110" xfId="0" applyFont="1" applyBorder="1" applyAlignment="1">
      <alignment horizontal="center" vertical="justify"/>
    </xf>
    <xf numFmtId="0" fontId="4" fillId="0" borderId="111" xfId="0" applyFont="1" applyBorder="1" applyAlignment="1">
      <alignment horizontal="center" vertical="justify"/>
    </xf>
    <xf numFmtId="0" fontId="4" fillId="0" borderId="73" xfId="0" applyFont="1" applyBorder="1" applyAlignment="1">
      <alignment horizontal="center"/>
    </xf>
    <xf numFmtId="0" fontId="4" fillId="0" borderId="109" xfId="0" applyFont="1" applyBorder="1" applyAlignment="1">
      <alignment horizontal="center"/>
    </xf>
    <xf numFmtId="49" fontId="19" fillId="0" borderId="0" xfId="0" applyNumberFormat="1" applyFont="1" applyFill="1" applyBorder="1" applyAlignment="1">
      <alignment horizontal="left" wrapText="1"/>
    </xf>
    <xf numFmtId="0" fontId="19" fillId="0" borderId="0" xfId="0" applyFont="1" applyAlignment="1">
      <alignment horizontal="left"/>
    </xf>
    <xf numFmtId="0" fontId="19" fillId="0" borderId="58" xfId="0" applyFont="1" applyBorder="1" applyAlignment="1">
      <alignment horizontal="left"/>
    </xf>
    <xf numFmtId="49" fontId="4" fillId="0" borderId="0" xfId="0" applyNumberFormat="1" applyFont="1" applyFill="1" applyBorder="1" applyAlignment="1">
      <alignment horizontal="left" wrapText="1"/>
    </xf>
    <xf numFmtId="0" fontId="0" fillId="0" borderId="0" xfId="0" applyAlignment="1">
      <alignment/>
    </xf>
    <xf numFmtId="0" fontId="17" fillId="0" borderId="0" xfId="0" applyFont="1" applyAlignment="1">
      <alignment horizontal="center"/>
    </xf>
    <xf numFmtId="49" fontId="4" fillId="0" borderId="46" xfId="0" applyNumberFormat="1" applyFont="1" applyFill="1" applyBorder="1" applyAlignment="1">
      <alignment horizontal="left" wrapText="1"/>
    </xf>
    <xf numFmtId="0" fontId="22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0" xfId="0" applyFont="1" applyBorder="1" applyAlignment="1">
      <alignment horizontal="right"/>
    </xf>
    <xf numFmtId="0" fontId="13" fillId="0" borderId="80" xfId="0" applyFont="1" applyBorder="1" applyAlignment="1">
      <alignment horizontal="right"/>
    </xf>
    <xf numFmtId="178" fontId="13" fillId="54" borderId="46" xfId="0" applyNumberFormat="1" applyFont="1" applyFill="1" applyBorder="1" applyAlignment="1">
      <alignment horizontal="right"/>
    </xf>
    <xf numFmtId="178" fontId="13" fillId="54" borderId="110" xfId="0" applyNumberFormat="1" applyFont="1" applyFill="1" applyBorder="1" applyAlignment="1">
      <alignment horizontal="right"/>
    </xf>
    <xf numFmtId="0" fontId="15" fillId="0" borderId="0" xfId="0" applyFont="1" applyAlignment="1">
      <alignment horizontal="left"/>
    </xf>
    <xf numFmtId="0" fontId="15" fillId="0" borderId="0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54" borderId="0" xfId="0" applyFont="1" applyFill="1" applyBorder="1" applyAlignment="1">
      <alignment horizontal="center"/>
    </xf>
    <xf numFmtId="0" fontId="10" fillId="54" borderId="0" xfId="0" applyFont="1" applyFill="1" applyBorder="1" applyAlignment="1">
      <alignment horizontal="center"/>
    </xf>
    <xf numFmtId="0" fontId="83" fillId="0" borderId="0" xfId="0" applyFont="1" applyFill="1" applyAlignment="1">
      <alignment horizontal="center"/>
    </xf>
    <xf numFmtId="0" fontId="72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49" fillId="6" borderId="31" xfId="0" applyFont="1" applyFill="1" applyBorder="1" applyAlignment="1">
      <alignment horizontal="center" vertical="center" textRotation="90" wrapText="1"/>
    </xf>
    <xf numFmtId="0" fontId="22" fillId="6" borderId="35" xfId="0" applyFont="1" applyFill="1" applyBorder="1" applyAlignment="1">
      <alignment horizontal="center" vertical="center" textRotation="90" wrapText="1"/>
    </xf>
    <xf numFmtId="0" fontId="8" fillId="6" borderId="24" xfId="0" applyFont="1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 wrapText="1"/>
    </xf>
    <xf numFmtId="0" fontId="8" fillId="7" borderId="37" xfId="0" applyFont="1" applyFill="1" applyBorder="1" applyAlignment="1">
      <alignment horizontal="center" vertical="center" wrapText="1"/>
    </xf>
    <xf numFmtId="0" fontId="8" fillId="7" borderId="76" xfId="0" applyFont="1" applyFill="1" applyBorder="1" applyAlignment="1">
      <alignment horizontal="center" vertical="center" wrapText="1"/>
    </xf>
    <xf numFmtId="0" fontId="8" fillId="7" borderId="5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/>
    </xf>
    <xf numFmtId="0" fontId="8" fillId="6" borderId="45" xfId="0" applyFont="1" applyFill="1" applyBorder="1" applyAlignment="1">
      <alignment horizontal="center" vertical="center" wrapText="1"/>
    </xf>
    <xf numFmtId="0" fontId="8" fillId="6" borderId="6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wrapText="1"/>
    </xf>
    <xf numFmtId="0" fontId="49" fillId="0" borderId="0" xfId="0" applyFont="1" applyBorder="1" applyAlignment="1">
      <alignment horizontal="left" vertical="center" wrapText="1"/>
    </xf>
    <xf numFmtId="0" fontId="49" fillId="0" borderId="8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49" fontId="8" fillId="54" borderId="0" xfId="0" applyNumberFormat="1" applyFont="1" applyFill="1" applyBorder="1" applyAlignment="1">
      <alignment horizontal="center" wrapText="1"/>
    </xf>
    <xf numFmtId="0" fontId="44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0" fontId="50" fillId="0" borderId="0" xfId="0" applyFont="1" applyAlignment="1">
      <alignment horizontal="left"/>
    </xf>
    <xf numFmtId="0" fontId="50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wrapText="1"/>
    </xf>
    <xf numFmtId="0" fontId="52" fillId="0" borderId="0" xfId="0" applyFont="1" applyBorder="1" applyAlignment="1">
      <alignment horizontal="left"/>
    </xf>
    <xf numFmtId="0" fontId="4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vertical="center" wrapText="1"/>
    </xf>
    <xf numFmtId="49" fontId="8" fillId="0" borderId="76" xfId="0" applyNumberFormat="1" applyFont="1" applyFill="1" applyBorder="1" applyAlignment="1">
      <alignment horizontal="left" wrapText="1"/>
    </xf>
    <xf numFmtId="0" fontId="19" fillId="0" borderId="37" xfId="0" applyFont="1" applyFill="1" applyBorder="1" applyAlignment="1">
      <alignment horizontal="left"/>
    </xf>
    <xf numFmtId="0" fontId="19" fillId="0" borderId="52" xfId="0" applyFont="1" applyFill="1" applyBorder="1" applyAlignment="1">
      <alignment horizontal="left"/>
    </xf>
    <xf numFmtId="0" fontId="4" fillId="0" borderId="89" xfId="0" applyFont="1" applyBorder="1" applyAlignment="1">
      <alignment horizontal="left" wrapText="1"/>
    </xf>
    <xf numFmtId="0" fontId="4" fillId="0" borderId="72" xfId="0" applyFont="1" applyBorder="1" applyAlignment="1">
      <alignment horizontal="left" wrapText="1"/>
    </xf>
    <xf numFmtId="49" fontId="19" fillId="0" borderId="80" xfId="0" applyNumberFormat="1" applyFont="1" applyFill="1" applyBorder="1" applyAlignment="1">
      <alignment horizontal="left" wrapText="1"/>
    </xf>
    <xf numFmtId="49" fontId="4" fillId="0" borderId="80" xfId="0" applyNumberFormat="1" applyFont="1" applyFill="1" applyBorder="1" applyAlignment="1">
      <alignment horizontal="left" wrapText="1"/>
    </xf>
    <xf numFmtId="0" fontId="8" fillId="0" borderId="0" xfId="1345" applyFont="1" applyAlignment="1">
      <alignment horizontal="center"/>
      <protection/>
    </xf>
    <xf numFmtId="0" fontId="9" fillId="0" borderId="0" xfId="1345" applyFont="1" applyAlignment="1">
      <alignment horizontal="center"/>
      <protection/>
    </xf>
    <xf numFmtId="0" fontId="22" fillId="0" borderId="0" xfId="1345" applyFont="1" applyAlignment="1">
      <alignment horizontal="center"/>
      <protection/>
    </xf>
    <xf numFmtId="0" fontId="10" fillId="54" borderId="0" xfId="0" applyFont="1" applyFill="1" applyBorder="1" applyAlignment="1">
      <alignment horizontal="left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3" fillId="0" borderId="58" xfId="0" applyFont="1" applyBorder="1" applyAlignment="1">
      <alignment horizontal="left"/>
    </xf>
    <xf numFmtId="0" fontId="117" fillId="0" borderId="0" xfId="1345" applyFont="1" applyAlignment="1">
      <alignment horizontal="center"/>
      <protection/>
    </xf>
    <xf numFmtId="0" fontId="143" fillId="0" borderId="0" xfId="1345" applyFont="1" applyAlignment="1">
      <alignment horizontal="center"/>
      <protection/>
    </xf>
    <xf numFmtId="0" fontId="103" fillId="0" borderId="0" xfId="1345" applyFont="1" applyAlignment="1">
      <alignment horizontal="center"/>
      <protection/>
    </xf>
    <xf numFmtId="0" fontId="115" fillId="0" borderId="0" xfId="0" applyFont="1" applyAlignment="1">
      <alignment horizontal="center"/>
    </xf>
    <xf numFmtId="0" fontId="144" fillId="0" borderId="0" xfId="0" applyFont="1" applyAlignment="1">
      <alignment horizontal="center"/>
    </xf>
    <xf numFmtId="0" fontId="8" fillId="6" borderId="110" xfId="0" applyFont="1" applyFill="1" applyBorder="1" applyAlignment="1">
      <alignment horizontal="center" vertical="center" wrapText="1"/>
    </xf>
    <xf numFmtId="0" fontId="8" fillId="6" borderId="111" xfId="0" applyFont="1" applyFill="1" applyBorder="1" applyAlignment="1">
      <alignment horizontal="center" vertical="center" wrapText="1"/>
    </xf>
    <xf numFmtId="0" fontId="70" fillId="0" borderId="0" xfId="0" applyFont="1" applyFill="1" applyAlignment="1">
      <alignment horizontal="center"/>
    </xf>
    <xf numFmtId="0" fontId="8" fillId="7" borderId="112" xfId="0" applyFont="1" applyFill="1" applyBorder="1" applyAlignment="1">
      <alignment horizontal="center" vertical="center" wrapText="1"/>
    </xf>
    <xf numFmtId="0" fontId="8" fillId="7" borderId="113" xfId="0" applyFont="1" applyFill="1" applyBorder="1" applyAlignment="1">
      <alignment horizontal="center" vertical="center" wrapText="1"/>
    </xf>
    <xf numFmtId="0" fontId="8" fillId="7" borderId="114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49" fillId="6" borderId="19" xfId="0" applyFont="1" applyFill="1" applyBorder="1" applyAlignment="1">
      <alignment horizontal="center" vertical="center" textRotation="90" wrapText="1"/>
    </xf>
    <xf numFmtId="0" fontId="22" fillId="6" borderId="38" xfId="0" applyFont="1" applyFill="1" applyBorder="1" applyAlignment="1">
      <alignment horizontal="center" vertical="center" textRotation="90" wrapText="1"/>
    </xf>
    <xf numFmtId="0" fontId="8" fillId="7" borderId="20" xfId="0" applyFont="1" applyFill="1" applyBorder="1" applyAlignment="1">
      <alignment horizontal="center" vertical="center" wrapText="1"/>
    </xf>
    <xf numFmtId="0" fontId="8" fillId="7" borderId="22" xfId="0" applyFont="1" applyFill="1" applyBorder="1" applyAlignment="1">
      <alignment horizontal="center" vertical="center" wrapText="1"/>
    </xf>
    <xf numFmtId="0" fontId="8" fillId="6" borderId="65" xfId="0" applyFont="1" applyFill="1" applyBorder="1" applyAlignment="1">
      <alignment horizontal="center" vertical="center" wrapText="1"/>
    </xf>
    <xf numFmtId="0" fontId="0" fillId="6" borderId="68" xfId="0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</cellXfs>
  <cellStyles count="1611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name="20% - Énfasis1" xfId="26"/>
    <cellStyle name="20% - Énfasis1 2" xfId="27"/>
    <cellStyle name="20% - Énfasis1 2 10" xfId="28"/>
    <cellStyle name="20% - Énfasis1 2 11" xfId="29"/>
    <cellStyle name="20% - Énfasis1 2 2" xfId="30"/>
    <cellStyle name="20% - Énfasis1 2 3" xfId="31"/>
    <cellStyle name="20% - Énfasis1 2 4" xfId="32"/>
    <cellStyle name="20% - Énfasis1 2 5" xfId="33"/>
    <cellStyle name="20% - Énfasis1 2 6" xfId="34"/>
    <cellStyle name="20% - Énfasis1 2 7" xfId="35"/>
    <cellStyle name="20% - Énfasis1 2 8" xfId="36"/>
    <cellStyle name="20% - Énfasis1 2 9" xfId="37"/>
    <cellStyle name="20% - Énfasis1 3" xfId="38"/>
    <cellStyle name="20% - Énfasis1 3 10" xfId="39"/>
    <cellStyle name="20% - Énfasis1 3 11" xfId="40"/>
    <cellStyle name="20% - Énfasis1 3 2" xfId="41"/>
    <cellStyle name="20% - Énfasis1 3 3" xfId="42"/>
    <cellStyle name="20% - Énfasis1 3 4" xfId="43"/>
    <cellStyle name="20% - Énfasis1 3 5" xfId="44"/>
    <cellStyle name="20% - Énfasis1 3 6" xfId="45"/>
    <cellStyle name="20% - Énfasis1 3 7" xfId="46"/>
    <cellStyle name="20% - Énfasis1 3 8" xfId="47"/>
    <cellStyle name="20% - Énfasis1 3 9" xfId="48"/>
    <cellStyle name="20% - Énfasis1 4" xfId="49"/>
    <cellStyle name="20% - Énfasis1 4 10" xfId="50"/>
    <cellStyle name="20% - Énfasis1 4 11" xfId="51"/>
    <cellStyle name="20% - Énfasis1 4 2" xfId="52"/>
    <cellStyle name="20% - Énfasis1 4 3" xfId="53"/>
    <cellStyle name="20% - Énfasis1 4 4" xfId="54"/>
    <cellStyle name="20% - Énfasis1 4 5" xfId="55"/>
    <cellStyle name="20% - Énfasis1 4 6" xfId="56"/>
    <cellStyle name="20% - Énfasis1 4 7" xfId="57"/>
    <cellStyle name="20% - Énfasis1 4 8" xfId="58"/>
    <cellStyle name="20% - Énfasis1 4 9" xfId="59"/>
    <cellStyle name="20% - Énfasis2" xfId="60"/>
    <cellStyle name="20% - Énfasis2 2" xfId="61"/>
    <cellStyle name="20% - Énfasis2 2 10" xfId="62"/>
    <cellStyle name="20% - Énfasis2 2 11" xfId="63"/>
    <cellStyle name="20% - Énfasis2 2 2" xfId="64"/>
    <cellStyle name="20% - Énfasis2 2 3" xfId="65"/>
    <cellStyle name="20% - Énfasis2 2 4" xfId="66"/>
    <cellStyle name="20% - Énfasis2 2 5" xfId="67"/>
    <cellStyle name="20% - Énfasis2 2 6" xfId="68"/>
    <cellStyle name="20% - Énfasis2 2 7" xfId="69"/>
    <cellStyle name="20% - Énfasis2 2 8" xfId="70"/>
    <cellStyle name="20% - Énfasis2 2 9" xfId="71"/>
    <cellStyle name="20% - Énfasis2 3" xfId="72"/>
    <cellStyle name="20% - Énfasis2 3 10" xfId="73"/>
    <cellStyle name="20% - Énfasis2 3 11" xfId="74"/>
    <cellStyle name="20% - Énfasis2 3 2" xfId="75"/>
    <cellStyle name="20% - Énfasis2 3 3" xfId="76"/>
    <cellStyle name="20% - Énfasis2 3 4" xfId="77"/>
    <cellStyle name="20% - Énfasis2 3 5" xfId="78"/>
    <cellStyle name="20% - Énfasis2 3 6" xfId="79"/>
    <cellStyle name="20% - Énfasis2 3 7" xfId="80"/>
    <cellStyle name="20% - Énfasis2 3 8" xfId="81"/>
    <cellStyle name="20% - Énfasis2 3 9" xfId="82"/>
    <cellStyle name="20% - Énfasis2 4" xfId="83"/>
    <cellStyle name="20% - Énfasis2 4 10" xfId="84"/>
    <cellStyle name="20% - Énfasis2 4 11" xfId="85"/>
    <cellStyle name="20% - Énfasis2 4 2" xfId="86"/>
    <cellStyle name="20% - Énfasis2 4 3" xfId="87"/>
    <cellStyle name="20% - Énfasis2 4 4" xfId="88"/>
    <cellStyle name="20% - Énfasis2 4 5" xfId="89"/>
    <cellStyle name="20% - Énfasis2 4 6" xfId="90"/>
    <cellStyle name="20% - Énfasis2 4 7" xfId="91"/>
    <cellStyle name="20% - Énfasis2 4 8" xfId="92"/>
    <cellStyle name="20% - Énfasis2 4 9" xfId="93"/>
    <cellStyle name="20% - Énfasis3" xfId="94"/>
    <cellStyle name="20% - Énfasis3 2" xfId="95"/>
    <cellStyle name="20% - Énfasis3 2 10" xfId="96"/>
    <cellStyle name="20% - Énfasis3 2 11" xfId="97"/>
    <cellStyle name="20% - Énfasis3 2 2" xfId="98"/>
    <cellStyle name="20% - Énfasis3 2 3" xfId="99"/>
    <cellStyle name="20% - Énfasis3 2 4" xfId="100"/>
    <cellStyle name="20% - Énfasis3 2 5" xfId="101"/>
    <cellStyle name="20% - Énfasis3 2 6" xfId="102"/>
    <cellStyle name="20% - Énfasis3 2 7" xfId="103"/>
    <cellStyle name="20% - Énfasis3 2 8" xfId="104"/>
    <cellStyle name="20% - Énfasis3 2 9" xfId="105"/>
    <cellStyle name="20% - Énfasis3 3" xfId="106"/>
    <cellStyle name="20% - Énfasis3 3 10" xfId="107"/>
    <cellStyle name="20% - Énfasis3 3 11" xfId="108"/>
    <cellStyle name="20% - Énfasis3 3 2" xfId="109"/>
    <cellStyle name="20% - Énfasis3 3 3" xfId="110"/>
    <cellStyle name="20% - Énfasis3 3 4" xfId="111"/>
    <cellStyle name="20% - Énfasis3 3 5" xfId="112"/>
    <cellStyle name="20% - Énfasis3 3 6" xfId="113"/>
    <cellStyle name="20% - Énfasis3 3 7" xfId="114"/>
    <cellStyle name="20% - Énfasis3 3 8" xfId="115"/>
    <cellStyle name="20% - Énfasis3 3 9" xfId="116"/>
    <cellStyle name="20% - Énfasis3 4" xfId="117"/>
    <cellStyle name="20% - Énfasis3 4 10" xfId="118"/>
    <cellStyle name="20% - Énfasis3 4 11" xfId="119"/>
    <cellStyle name="20% - Énfasis3 4 2" xfId="120"/>
    <cellStyle name="20% - Énfasis3 4 3" xfId="121"/>
    <cellStyle name="20% - Énfasis3 4 4" xfId="122"/>
    <cellStyle name="20% - Énfasis3 4 5" xfId="123"/>
    <cellStyle name="20% - Énfasis3 4 6" xfId="124"/>
    <cellStyle name="20% - Énfasis3 4 7" xfId="125"/>
    <cellStyle name="20% - Énfasis3 4 8" xfId="126"/>
    <cellStyle name="20% - Énfasis3 4 9" xfId="127"/>
    <cellStyle name="20% - Énfasis4" xfId="128"/>
    <cellStyle name="20% - Énfasis4 2" xfId="129"/>
    <cellStyle name="20% - Énfasis4 2 10" xfId="130"/>
    <cellStyle name="20% - Énfasis4 2 11" xfId="131"/>
    <cellStyle name="20% - Énfasis4 2 2" xfId="132"/>
    <cellStyle name="20% - Énfasis4 2 3" xfId="133"/>
    <cellStyle name="20% - Énfasis4 2 4" xfId="134"/>
    <cellStyle name="20% - Énfasis4 2 5" xfId="135"/>
    <cellStyle name="20% - Énfasis4 2 6" xfId="136"/>
    <cellStyle name="20% - Énfasis4 2 7" xfId="137"/>
    <cellStyle name="20% - Énfasis4 2 8" xfId="138"/>
    <cellStyle name="20% - Énfasis4 2 9" xfId="139"/>
    <cellStyle name="20% - Énfasis4 3" xfId="140"/>
    <cellStyle name="20% - Énfasis4 3 10" xfId="141"/>
    <cellStyle name="20% - Énfasis4 3 11" xfId="142"/>
    <cellStyle name="20% - Énfasis4 3 2" xfId="143"/>
    <cellStyle name="20% - Énfasis4 3 3" xfId="144"/>
    <cellStyle name="20% - Énfasis4 3 4" xfId="145"/>
    <cellStyle name="20% - Énfasis4 3 5" xfId="146"/>
    <cellStyle name="20% - Énfasis4 3 6" xfId="147"/>
    <cellStyle name="20% - Énfasis4 3 7" xfId="148"/>
    <cellStyle name="20% - Énfasis4 3 8" xfId="149"/>
    <cellStyle name="20% - Énfasis4 3 9" xfId="150"/>
    <cellStyle name="20% - Énfasis4 4" xfId="151"/>
    <cellStyle name="20% - Énfasis4 4 10" xfId="152"/>
    <cellStyle name="20% - Énfasis4 4 11" xfId="153"/>
    <cellStyle name="20% - Énfasis4 4 2" xfId="154"/>
    <cellStyle name="20% - Énfasis4 4 3" xfId="155"/>
    <cellStyle name="20% - Énfasis4 4 4" xfId="156"/>
    <cellStyle name="20% - Énfasis4 4 5" xfId="157"/>
    <cellStyle name="20% - Énfasis4 4 6" xfId="158"/>
    <cellStyle name="20% - Énfasis4 4 7" xfId="159"/>
    <cellStyle name="20% - Énfasis4 4 8" xfId="160"/>
    <cellStyle name="20% - Énfasis4 4 9" xfId="161"/>
    <cellStyle name="20% - Énfasis5" xfId="162"/>
    <cellStyle name="20% - Énfasis5 2" xfId="163"/>
    <cellStyle name="20% - Énfasis5 2 10" xfId="164"/>
    <cellStyle name="20% - Énfasis5 2 11" xfId="165"/>
    <cellStyle name="20% - Énfasis5 2 2" xfId="166"/>
    <cellStyle name="20% - Énfasis5 2 3" xfId="167"/>
    <cellStyle name="20% - Énfasis5 2 4" xfId="168"/>
    <cellStyle name="20% - Énfasis5 2 5" xfId="169"/>
    <cellStyle name="20% - Énfasis5 2 6" xfId="170"/>
    <cellStyle name="20% - Énfasis5 2 7" xfId="171"/>
    <cellStyle name="20% - Énfasis5 2 8" xfId="172"/>
    <cellStyle name="20% - Énfasis5 2 9" xfId="173"/>
    <cellStyle name="20% - Énfasis5 3" xfId="174"/>
    <cellStyle name="20% - Énfasis5 3 10" xfId="175"/>
    <cellStyle name="20% - Énfasis5 3 11" xfId="176"/>
    <cellStyle name="20% - Énfasis5 3 2" xfId="177"/>
    <cellStyle name="20% - Énfasis5 3 3" xfId="178"/>
    <cellStyle name="20% - Énfasis5 3 4" xfId="179"/>
    <cellStyle name="20% - Énfasis5 3 5" xfId="180"/>
    <cellStyle name="20% - Énfasis5 3 6" xfId="181"/>
    <cellStyle name="20% - Énfasis5 3 7" xfId="182"/>
    <cellStyle name="20% - Énfasis5 3 8" xfId="183"/>
    <cellStyle name="20% - Énfasis5 3 9" xfId="184"/>
    <cellStyle name="20% - Énfasis5 4" xfId="185"/>
    <cellStyle name="20% - Énfasis5 4 10" xfId="186"/>
    <cellStyle name="20% - Énfasis5 4 11" xfId="187"/>
    <cellStyle name="20% - Énfasis5 4 2" xfId="188"/>
    <cellStyle name="20% - Énfasis5 4 3" xfId="189"/>
    <cellStyle name="20% - Énfasis5 4 4" xfId="190"/>
    <cellStyle name="20% - Énfasis5 4 5" xfId="191"/>
    <cellStyle name="20% - Énfasis5 4 6" xfId="192"/>
    <cellStyle name="20% - Énfasis5 4 7" xfId="193"/>
    <cellStyle name="20% - Énfasis5 4 8" xfId="194"/>
    <cellStyle name="20% - Énfasis5 4 9" xfId="195"/>
    <cellStyle name="20% - Énfasis6" xfId="196"/>
    <cellStyle name="20% - Énfasis6 2" xfId="197"/>
    <cellStyle name="20% - Énfasis6 2 10" xfId="198"/>
    <cellStyle name="20% - Énfasis6 2 11" xfId="199"/>
    <cellStyle name="20% - Énfasis6 2 2" xfId="200"/>
    <cellStyle name="20% - Énfasis6 2 3" xfId="201"/>
    <cellStyle name="20% - Énfasis6 2 4" xfId="202"/>
    <cellStyle name="20% - Énfasis6 2 5" xfId="203"/>
    <cellStyle name="20% - Énfasis6 2 6" xfId="204"/>
    <cellStyle name="20% - Énfasis6 2 7" xfId="205"/>
    <cellStyle name="20% - Énfasis6 2 8" xfId="206"/>
    <cellStyle name="20% - Énfasis6 2 9" xfId="207"/>
    <cellStyle name="20% - Énfasis6 3" xfId="208"/>
    <cellStyle name="20% - Énfasis6 3 10" xfId="209"/>
    <cellStyle name="20% - Énfasis6 3 11" xfId="210"/>
    <cellStyle name="20% - Énfasis6 3 2" xfId="211"/>
    <cellStyle name="20% - Énfasis6 3 3" xfId="212"/>
    <cellStyle name="20% - Énfasis6 3 4" xfId="213"/>
    <cellStyle name="20% - Énfasis6 3 5" xfId="214"/>
    <cellStyle name="20% - Énfasis6 3 6" xfId="215"/>
    <cellStyle name="20% - Énfasis6 3 7" xfId="216"/>
    <cellStyle name="20% - Énfasis6 3 8" xfId="217"/>
    <cellStyle name="20% - Énfasis6 3 9" xfId="218"/>
    <cellStyle name="20% - Énfasis6 4" xfId="219"/>
    <cellStyle name="20% - Énfasis6 4 10" xfId="220"/>
    <cellStyle name="20% - Énfasis6 4 11" xfId="221"/>
    <cellStyle name="20% - Énfasis6 4 2" xfId="222"/>
    <cellStyle name="20% - Énfasis6 4 3" xfId="223"/>
    <cellStyle name="20% - Énfasis6 4 4" xfId="224"/>
    <cellStyle name="20% - Énfasis6 4 5" xfId="225"/>
    <cellStyle name="20% - Énfasis6 4 6" xfId="226"/>
    <cellStyle name="20% - Énfasis6 4 7" xfId="227"/>
    <cellStyle name="20% - Énfasis6 4 8" xfId="228"/>
    <cellStyle name="20% - Énfasis6 4 9" xfId="229"/>
    <cellStyle name="40% - Accent1" xfId="230"/>
    <cellStyle name="40% - Accent2" xfId="231"/>
    <cellStyle name="40% - Accent3" xfId="232"/>
    <cellStyle name="40% - Accent4" xfId="233"/>
    <cellStyle name="40% - Accent5" xfId="234"/>
    <cellStyle name="40% - Accent6" xfId="235"/>
    <cellStyle name="40% - Énfasis1" xfId="236"/>
    <cellStyle name="40% - Énfasis1 2" xfId="237"/>
    <cellStyle name="40% - Énfasis1 2 10" xfId="238"/>
    <cellStyle name="40% - Énfasis1 2 11" xfId="239"/>
    <cellStyle name="40% - Énfasis1 2 2" xfId="240"/>
    <cellStyle name="40% - Énfasis1 2 3" xfId="241"/>
    <cellStyle name="40% - Énfasis1 2 4" xfId="242"/>
    <cellStyle name="40% - Énfasis1 2 5" xfId="243"/>
    <cellStyle name="40% - Énfasis1 2 6" xfId="244"/>
    <cellStyle name="40% - Énfasis1 2 7" xfId="245"/>
    <cellStyle name="40% - Énfasis1 2 8" xfId="246"/>
    <cellStyle name="40% - Énfasis1 2 9" xfId="247"/>
    <cellStyle name="40% - Énfasis1 3" xfId="248"/>
    <cellStyle name="40% - Énfasis1 3 10" xfId="249"/>
    <cellStyle name="40% - Énfasis1 3 11" xfId="250"/>
    <cellStyle name="40% - Énfasis1 3 2" xfId="251"/>
    <cellStyle name="40% - Énfasis1 3 3" xfId="252"/>
    <cellStyle name="40% - Énfasis1 3 4" xfId="253"/>
    <cellStyle name="40% - Énfasis1 3 5" xfId="254"/>
    <cellStyle name="40% - Énfasis1 3 6" xfId="255"/>
    <cellStyle name="40% - Énfasis1 3 7" xfId="256"/>
    <cellStyle name="40% - Énfasis1 3 8" xfId="257"/>
    <cellStyle name="40% - Énfasis1 3 9" xfId="258"/>
    <cellStyle name="40% - Énfasis1 4" xfId="259"/>
    <cellStyle name="40% - Énfasis1 4 10" xfId="260"/>
    <cellStyle name="40% - Énfasis1 4 11" xfId="261"/>
    <cellStyle name="40% - Énfasis1 4 2" xfId="262"/>
    <cellStyle name="40% - Énfasis1 4 3" xfId="263"/>
    <cellStyle name="40% - Énfasis1 4 4" xfId="264"/>
    <cellStyle name="40% - Énfasis1 4 5" xfId="265"/>
    <cellStyle name="40% - Énfasis1 4 6" xfId="266"/>
    <cellStyle name="40% - Énfasis1 4 7" xfId="267"/>
    <cellStyle name="40% - Énfasis1 4 8" xfId="268"/>
    <cellStyle name="40% - Énfasis1 4 9" xfId="269"/>
    <cellStyle name="40% - Énfasis2" xfId="270"/>
    <cellStyle name="40% - Énfasis2 2" xfId="271"/>
    <cellStyle name="40% - Énfasis2 2 10" xfId="272"/>
    <cellStyle name="40% - Énfasis2 2 11" xfId="273"/>
    <cellStyle name="40% - Énfasis2 2 2" xfId="274"/>
    <cellStyle name="40% - Énfasis2 2 3" xfId="275"/>
    <cellStyle name="40% - Énfasis2 2 4" xfId="276"/>
    <cellStyle name="40% - Énfasis2 2 5" xfId="277"/>
    <cellStyle name="40% - Énfasis2 2 6" xfId="278"/>
    <cellStyle name="40% - Énfasis2 2 7" xfId="279"/>
    <cellStyle name="40% - Énfasis2 2 8" xfId="280"/>
    <cellStyle name="40% - Énfasis2 2 9" xfId="281"/>
    <cellStyle name="40% - Énfasis2 3" xfId="282"/>
    <cellStyle name="40% - Énfasis2 3 10" xfId="283"/>
    <cellStyle name="40% - Énfasis2 3 11" xfId="284"/>
    <cellStyle name="40% - Énfasis2 3 2" xfId="285"/>
    <cellStyle name="40% - Énfasis2 3 3" xfId="286"/>
    <cellStyle name="40% - Énfasis2 3 4" xfId="287"/>
    <cellStyle name="40% - Énfasis2 3 5" xfId="288"/>
    <cellStyle name="40% - Énfasis2 3 6" xfId="289"/>
    <cellStyle name="40% - Énfasis2 3 7" xfId="290"/>
    <cellStyle name="40% - Énfasis2 3 8" xfId="291"/>
    <cellStyle name="40% - Énfasis2 3 9" xfId="292"/>
    <cellStyle name="40% - Énfasis2 4" xfId="293"/>
    <cellStyle name="40% - Énfasis2 4 10" xfId="294"/>
    <cellStyle name="40% - Énfasis2 4 11" xfId="295"/>
    <cellStyle name="40% - Énfasis2 4 2" xfId="296"/>
    <cellStyle name="40% - Énfasis2 4 3" xfId="297"/>
    <cellStyle name="40% - Énfasis2 4 4" xfId="298"/>
    <cellStyle name="40% - Énfasis2 4 5" xfId="299"/>
    <cellStyle name="40% - Énfasis2 4 6" xfId="300"/>
    <cellStyle name="40% - Énfasis2 4 7" xfId="301"/>
    <cellStyle name="40% - Énfasis2 4 8" xfId="302"/>
    <cellStyle name="40% - Énfasis2 4 9" xfId="303"/>
    <cellStyle name="40% - Énfasis3" xfId="304"/>
    <cellStyle name="40% - Énfasis3 2" xfId="305"/>
    <cellStyle name="40% - Énfasis3 2 10" xfId="306"/>
    <cellStyle name="40% - Énfasis3 2 11" xfId="307"/>
    <cellStyle name="40% - Énfasis3 2 2" xfId="308"/>
    <cellStyle name="40% - Énfasis3 2 3" xfId="309"/>
    <cellStyle name="40% - Énfasis3 2 4" xfId="310"/>
    <cellStyle name="40% - Énfasis3 2 5" xfId="311"/>
    <cellStyle name="40% - Énfasis3 2 6" xfId="312"/>
    <cellStyle name="40% - Énfasis3 2 7" xfId="313"/>
    <cellStyle name="40% - Énfasis3 2 8" xfId="314"/>
    <cellStyle name="40% - Énfasis3 2 9" xfId="315"/>
    <cellStyle name="40% - Énfasis3 3" xfId="316"/>
    <cellStyle name="40% - Énfasis3 3 10" xfId="317"/>
    <cellStyle name="40% - Énfasis3 3 11" xfId="318"/>
    <cellStyle name="40% - Énfasis3 3 2" xfId="319"/>
    <cellStyle name="40% - Énfasis3 3 3" xfId="320"/>
    <cellStyle name="40% - Énfasis3 3 4" xfId="321"/>
    <cellStyle name="40% - Énfasis3 3 5" xfId="322"/>
    <cellStyle name="40% - Énfasis3 3 6" xfId="323"/>
    <cellStyle name="40% - Énfasis3 3 7" xfId="324"/>
    <cellStyle name="40% - Énfasis3 3 8" xfId="325"/>
    <cellStyle name="40% - Énfasis3 3 9" xfId="326"/>
    <cellStyle name="40% - Énfasis3 4" xfId="327"/>
    <cellStyle name="40% - Énfasis3 4 10" xfId="328"/>
    <cellStyle name="40% - Énfasis3 4 11" xfId="329"/>
    <cellStyle name="40% - Énfasis3 4 2" xfId="330"/>
    <cellStyle name="40% - Énfasis3 4 3" xfId="331"/>
    <cellStyle name="40% - Énfasis3 4 4" xfId="332"/>
    <cellStyle name="40% - Énfasis3 4 5" xfId="333"/>
    <cellStyle name="40% - Énfasis3 4 6" xfId="334"/>
    <cellStyle name="40% - Énfasis3 4 7" xfId="335"/>
    <cellStyle name="40% - Énfasis3 4 8" xfId="336"/>
    <cellStyle name="40% - Énfasis3 4 9" xfId="337"/>
    <cellStyle name="40% - Énfasis4" xfId="338"/>
    <cellStyle name="40% - Énfasis4 2" xfId="339"/>
    <cellStyle name="40% - Énfasis4 2 10" xfId="340"/>
    <cellStyle name="40% - Énfasis4 2 11" xfId="341"/>
    <cellStyle name="40% - Énfasis4 2 2" xfId="342"/>
    <cellStyle name="40% - Énfasis4 2 3" xfId="343"/>
    <cellStyle name="40% - Énfasis4 2 4" xfId="344"/>
    <cellStyle name="40% - Énfasis4 2 5" xfId="345"/>
    <cellStyle name="40% - Énfasis4 2 6" xfId="346"/>
    <cellStyle name="40% - Énfasis4 2 7" xfId="347"/>
    <cellStyle name="40% - Énfasis4 2 8" xfId="348"/>
    <cellStyle name="40% - Énfasis4 2 9" xfId="349"/>
    <cellStyle name="40% - Énfasis4 3" xfId="350"/>
    <cellStyle name="40% - Énfasis4 3 10" xfId="351"/>
    <cellStyle name="40% - Énfasis4 3 11" xfId="352"/>
    <cellStyle name="40% - Énfasis4 3 2" xfId="353"/>
    <cellStyle name="40% - Énfasis4 3 3" xfId="354"/>
    <cellStyle name="40% - Énfasis4 3 4" xfId="355"/>
    <cellStyle name="40% - Énfasis4 3 5" xfId="356"/>
    <cellStyle name="40% - Énfasis4 3 6" xfId="357"/>
    <cellStyle name="40% - Énfasis4 3 7" xfId="358"/>
    <cellStyle name="40% - Énfasis4 3 8" xfId="359"/>
    <cellStyle name="40% - Énfasis4 3 9" xfId="360"/>
    <cellStyle name="40% - Énfasis4 4" xfId="361"/>
    <cellStyle name="40% - Énfasis4 4 10" xfId="362"/>
    <cellStyle name="40% - Énfasis4 4 11" xfId="363"/>
    <cellStyle name="40% - Énfasis4 4 2" xfId="364"/>
    <cellStyle name="40% - Énfasis4 4 3" xfId="365"/>
    <cellStyle name="40% - Énfasis4 4 4" xfId="366"/>
    <cellStyle name="40% - Énfasis4 4 5" xfId="367"/>
    <cellStyle name="40% - Énfasis4 4 6" xfId="368"/>
    <cellStyle name="40% - Énfasis4 4 7" xfId="369"/>
    <cellStyle name="40% - Énfasis4 4 8" xfId="370"/>
    <cellStyle name="40% - Énfasis4 4 9" xfId="371"/>
    <cellStyle name="40% - Énfasis5" xfId="372"/>
    <cellStyle name="40% - Énfasis5 2" xfId="373"/>
    <cellStyle name="40% - Énfasis5 2 10" xfId="374"/>
    <cellStyle name="40% - Énfasis5 2 11" xfId="375"/>
    <cellStyle name="40% - Énfasis5 2 2" xfId="376"/>
    <cellStyle name="40% - Énfasis5 2 3" xfId="377"/>
    <cellStyle name="40% - Énfasis5 2 4" xfId="378"/>
    <cellStyle name="40% - Énfasis5 2 5" xfId="379"/>
    <cellStyle name="40% - Énfasis5 2 6" xfId="380"/>
    <cellStyle name="40% - Énfasis5 2 7" xfId="381"/>
    <cellStyle name="40% - Énfasis5 2 8" xfId="382"/>
    <cellStyle name="40% - Énfasis5 2 9" xfId="383"/>
    <cellStyle name="40% - Énfasis5 3" xfId="384"/>
    <cellStyle name="40% - Énfasis5 3 10" xfId="385"/>
    <cellStyle name="40% - Énfasis5 3 11" xfId="386"/>
    <cellStyle name="40% - Énfasis5 3 2" xfId="387"/>
    <cellStyle name="40% - Énfasis5 3 3" xfId="388"/>
    <cellStyle name="40% - Énfasis5 3 4" xfId="389"/>
    <cellStyle name="40% - Énfasis5 3 5" xfId="390"/>
    <cellStyle name="40% - Énfasis5 3 6" xfId="391"/>
    <cellStyle name="40% - Énfasis5 3 7" xfId="392"/>
    <cellStyle name="40% - Énfasis5 3 8" xfId="393"/>
    <cellStyle name="40% - Énfasis5 3 9" xfId="394"/>
    <cellStyle name="40% - Énfasis5 4" xfId="395"/>
    <cellStyle name="40% - Énfasis5 4 10" xfId="396"/>
    <cellStyle name="40% - Énfasis5 4 11" xfId="397"/>
    <cellStyle name="40% - Énfasis5 4 2" xfId="398"/>
    <cellStyle name="40% - Énfasis5 4 3" xfId="399"/>
    <cellStyle name="40% - Énfasis5 4 4" xfId="400"/>
    <cellStyle name="40% - Énfasis5 4 5" xfId="401"/>
    <cellStyle name="40% - Énfasis5 4 6" xfId="402"/>
    <cellStyle name="40% - Énfasis5 4 7" xfId="403"/>
    <cellStyle name="40% - Énfasis5 4 8" xfId="404"/>
    <cellStyle name="40% - Énfasis5 4 9" xfId="405"/>
    <cellStyle name="40% - Énfasis6" xfId="406"/>
    <cellStyle name="40% - Énfasis6 2" xfId="407"/>
    <cellStyle name="40% - Énfasis6 2 10" xfId="408"/>
    <cellStyle name="40% - Énfasis6 2 11" xfId="409"/>
    <cellStyle name="40% - Énfasis6 2 2" xfId="410"/>
    <cellStyle name="40% - Énfasis6 2 3" xfId="411"/>
    <cellStyle name="40% - Énfasis6 2 4" xfId="412"/>
    <cellStyle name="40% - Énfasis6 2 5" xfId="413"/>
    <cellStyle name="40% - Énfasis6 2 6" xfId="414"/>
    <cellStyle name="40% - Énfasis6 2 7" xfId="415"/>
    <cellStyle name="40% - Énfasis6 2 8" xfId="416"/>
    <cellStyle name="40% - Énfasis6 2 9" xfId="417"/>
    <cellStyle name="40% - Énfasis6 3" xfId="418"/>
    <cellStyle name="40% - Énfasis6 3 10" xfId="419"/>
    <cellStyle name="40% - Énfasis6 3 11" xfId="420"/>
    <cellStyle name="40% - Énfasis6 3 2" xfId="421"/>
    <cellStyle name="40% - Énfasis6 3 3" xfId="422"/>
    <cellStyle name="40% - Énfasis6 3 4" xfId="423"/>
    <cellStyle name="40% - Énfasis6 3 5" xfId="424"/>
    <cellStyle name="40% - Énfasis6 3 6" xfId="425"/>
    <cellStyle name="40% - Énfasis6 3 7" xfId="426"/>
    <cellStyle name="40% - Énfasis6 3 8" xfId="427"/>
    <cellStyle name="40% - Énfasis6 3 9" xfId="428"/>
    <cellStyle name="40% - Énfasis6 4" xfId="429"/>
    <cellStyle name="40% - Énfasis6 4 10" xfId="430"/>
    <cellStyle name="40% - Énfasis6 4 11" xfId="431"/>
    <cellStyle name="40% - Énfasis6 4 2" xfId="432"/>
    <cellStyle name="40% - Énfasis6 4 3" xfId="433"/>
    <cellStyle name="40% - Énfasis6 4 4" xfId="434"/>
    <cellStyle name="40% - Énfasis6 4 5" xfId="435"/>
    <cellStyle name="40% - Énfasis6 4 6" xfId="436"/>
    <cellStyle name="40% - Énfasis6 4 7" xfId="437"/>
    <cellStyle name="40% - Énfasis6 4 8" xfId="438"/>
    <cellStyle name="40% - Énfasis6 4 9" xfId="439"/>
    <cellStyle name="60% - Accent1" xfId="440"/>
    <cellStyle name="60% - Accent2" xfId="441"/>
    <cellStyle name="60% - Accent3" xfId="442"/>
    <cellStyle name="60% - Accent4" xfId="443"/>
    <cellStyle name="60% - Accent5" xfId="444"/>
    <cellStyle name="60% - Accent6" xfId="445"/>
    <cellStyle name="60% - Énfasis1" xfId="446"/>
    <cellStyle name="60% - Énfasis1 2" xfId="447"/>
    <cellStyle name="60% - Énfasis1 2 10" xfId="448"/>
    <cellStyle name="60% - Énfasis1 2 11" xfId="449"/>
    <cellStyle name="60% - Énfasis1 2 2" xfId="450"/>
    <cellStyle name="60% - Énfasis1 2 3" xfId="451"/>
    <cellStyle name="60% - Énfasis1 2 4" xfId="452"/>
    <cellStyle name="60% - Énfasis1 2 5" xfId="453"/>
    <cellStyle name="60% - Énfasis1 2 6" xfId="454"/>
    <cellStyle name="60% - Énfasis1 2 7" xfId="455"/>
    <cellStyle name="60% - Énfasis1 2 8" xfId="456"/>
    <cellStyle name="60% - Énfasis1 2 9" xfId="457"/>
    <cellStyle name="60% - Énfasis1 3" xfId="458"/>
    <cellStyle name="60% - Énfasis1 3 10" xfId="459"/>
    <cellStyle name="60% - Énfasis1 3 11" xfId="460"/>
    <cellStyle name="60% - Énfasis1 3 2" xfId="461"/>
    <cellStyle name="60% - Énfasis1 3 3" xfId="462"/>
    <cellStyle name="60% - Énfasis1 3 4" xfId="463"/>
    <cellStyle name="60% - Énfasis1 3 5" xfId="464"/>
    <cellStyle name="60% - Énfasis1 3 6" xfId="465"/>
    <cellStyle name="60% - Énfasis1 3 7" xfId="466"/>
    <cellStyle name="60% - Énfasis1 3 8" xfId="467"/>
    <cellStyle name="60% - Énfasis1 3 9" xfId="468"/>
    <cellStyle name="60% - Énfasis1 4" xfId="469"/>
    <cellStyle name="60% - Énfasis1 4 10" xfId="470"/>
    <cellStyle name="60% - Énfasis1 4 11" xfId="471"/>
    <cellStyle name="60% - Énfasis1 4 2" xfId="472"/>
    <cellStyle name="60% - Énfasis1 4 3" xfId="473"/>
    <cellStyle name="60% - Énfasis1 4 4" xfId="474"/>
    <cellStyle name="60% - Énfasis1 4 5" xfId="475"/>
    <cellStyle name="60% - Énfasis1 4 6" xfId="476"/>
    <cellStyle name="60% - Énfasis1 4 7" xfId="477"/>
    <cellStyle name="60% - Énfasis1 4 8" xfId="478"/>
    <cellStyle name="60% - Énfasis1 4 9" xfId="479"/>
    <cellStyle name="60% - Énfasis2" xfId="480"/>
    <cellStyle name="60% - Énfasis2 2" xfId="481"/>
    <cellStyle name="60% - Énfasis2 2 10" xfId="482"/>
    <cellStyle name="60% - Énfasis2 2 11" xfId="483"/>
    <cellStyle name="60% - Énfasis2 2 2" xfId="484"/>
    <cellStyle name="60% - Énfasis2 2 3" xfId="485"/>
    <cellStyle name="60% - Énfasis2 2 4" xfId="486"/>
    <cellStyle name="60% - Énfasis2 2 5" xfId="487"/>
    <cellStyle name="60% - Énfasis2 2 6" xfId="488"/>
    <cellStyle name="60% - Énfasis2 2 7" xfId="489"/>
    <cellStyle name="60% - Énfasis2 2 8" xfId="490"/>
    <cellStyle name="60% - Énfasis2 2 9" xfId="491"/>
    <cellStyle name="60% - Énfasis2 3" xfId="492"/>
    <cellStyle name="60% - Énfasis2 3 10" xfId="493"/>
    <cellStyle name="60% - Énfasis2 3 11" xfId="494"/>
    <cellStyle name="60% - Énfasis2 3 2" xfId="495"/>
    <cellStyle name="60% - Énfasis2 3 3" xfId="496"/>
    <cellStyle name="60% - Énfasis2 3 4" xfId="497"/>
    <cellStyle name="60% - Énfasis2 3 5" xfId="498"/>
    <cellStyle name="60% - Énfasis2 3 6" xfId="499"/>
    <cellStyle name="60% - Énfasis2 3 7" xfId="500"/>
    <cellStyle name="60% - Énfasis2 3 8" xfId="501"/>
    <cellStyle name="60% - Énfasis2 3 9" xfId="502"/>
    <cellStyle name="60% - Énfasis2 4" xfId="503"/>
    <cellStyle name="60% - Énfasis2 4 10" xfId="504"/>
    <cellStyle name="60% - Énfasis2 4 11" xfId="505"/>
    <cellStyle name="60% - Énfasis2 4 2" xfId="506"/>
    <cellStyle name="60% - Énfasis2 4 3" xfId="507"/>
    <cellStyle name="60% - Énfasis2 4 4" xfId="508"/>
    <cellStyle name="60% - Énfasis2 4 5" xfId="509"/>
    <cellStyle name="60% - Énfasis2 4 6" xfId="510"/>
    <cellStyle name="60% - Énfasis2 4 7" xfId="511"/>
    <cellStyle name="60% - Énfasis2 4 8" xfId="512"/>
    <cellStyle name="60% - Énfasis2 4 9" xfId="513"/>
    <cellStyle name="60% - Énfasis3" xfId="514"/>
    <cellStyle name="60% - Énfasis3 2" xfId="515"/>
    <cellStyle name="60% - Énfasis3 2 10" xfId="516"/>
    <cellStyle name="60% - Énfasis3 2 11" xfId="517"/>
    <cellStyle name="60% - Énfasis3 2 2" xfId="518"/>
    <cellStyle name="60% - Énfasis3 2 3" xfId="519"/>
    <cellStyle name="60% - Énfasis3 2 4" xfId="520"/>
    <cellStyle name="60% - Énfasis3 2 5" xfId="521"/>
    <cellStyle name="60% - Énfasis3 2 6" xfId="522"/>
    <cellStyle name="60% - Énfasis3 2 7" xfId="523"/>
    <cellStyle name="60% - Énfasis3 2 8" xfId="524"/>
    <cellStyle name="60% - Énfasis3 2 9" xfId="525"/>
    <cellStyle name="60% - Énfasis3 3" xfId="526"/>
    <cellStyle name="60% - Énfasis3 3 10" xfId="527"/>
    <cellStyle name="60% - Énfasis3 3 11" xfId="528"/>
    <cellStyle name="60% - Énfasis3 3 2" xfId="529"/>
    <cellStyle name="60% - Énfasis3 3 3" xfId="530"/>
    <cellStyle name="60% - Énfasis3 3 4" xfId="531"/>
    <cellStyle name="60% - Énfasis3 3 5" xfId="532"/>
    <cellStyle name="60% - Énfasis3 3 6" xfId="533"/>
    <cellStyle name="60% - Énfasis3 3 7" xfId="534"/>
    <cellStyle name="60% - Énfasis3 3 8" xfId="535"/>
    <cellStyle name="60% - Énfasis3 3 9" xfId="536"/>
    <cellStyle name="60% - Énfasis3 4" xfId="537"/>
    <cellStyle name="60% - Énfasis3 4 10" xfId="538"/>
    <cellStyle name="60% - Énfasis3 4 11" xfId="539"/>
    <cellStyle name="60% - Énfasis3 4 2" xfId="540"/>
    <cellStyle name="60% - Énfasis3 4 3" xfId="541"/>
    <cellStyle name="60% - Énfasis3 4 4" xfId="542"/>
    <cellStyle name="60% - Énfasis3 4 5" xfId="543"/>
    <cellStyle name="60% - Énfasis3 4 6" xfId="544"/>
    <cellStyle name="60% - Énfasis3 4 7" xfId="545"/>
    <cellStyle name="60% - Énfasis3 4 8" xfId="546"/>
    <cellStyle name="60% - Énfasis3 4 9" xfId="547"/>
    <cellStyle name="60% - Énfasis4" xfId="548"/>
    <cellStyle name="60% - Énfasis4 2" xfId="549"/>
    <cellStyle name="60% - Énfasis4 2 10" xfId="550"/>
    <cellStyle name="60% - Énfasis4 2 11" xfId="551"/>
    <cellStyle name="60% - Énfasis4 2 2" xfId="552"/>
    <cellStyle name="60% - Énfasis4 2 3" xfId="553"/>
    <cellStyle name="60% - Énfasis4 2 4" xfId="554"/>
    <cellStyle name="60% - Énfasis4 2 5" xfId="555"/>
    <cellStyle name="60% - Énfasis4 2 6" xfId="556"/>
    <cellStyle name="60% - Énfasis4 2 7" xfId="557"/>
    <cellStyle name="60% - Énfasis4 2 8" xfId="558"/>
    <cellStyle name="60% - Énfasis4 2 9" xfId="559"/>
    <cellStyle name="60% - Énfasis4 3" xfId="560"/>
    <cellStyle name="60% - Énfasis4 3 10" xfId="561"/>
    <cellStyle name="60% - Énfasis4 3 11" xfId="562"/>
    <cellStyle name="60% - Énfasis4 3 2" xfId="563"/>
    <cellStyle name="60% - Énfasis4 3 3" xfId="564"/>
    <cellStyle name="60% - Énfasis4 3 4" xfId="565"/>
    <cellStyle name="60% - Énfasis4 3 5" xfId="566"/>
    <cellStyle name="60% - Énfasis4 3 6" xfId="567"/>
    <cellStyle name="60% - Énfasis4 3 7" xfId="568"/>
    <cellStyle name="60% - Énfasis4 3 8" xfId="569"/>
    <cellStyle name="60% - Énfasis4 3 9" xfId="570"/>
    <cellStyle name="60% - Énfasis4 4" xfId="571"/>
    <cellStyle name="60% - Énfasis4 4 10" xfId="572"/>
    <cellStyle name="60% - Énfasis4 4 11" xfId="573"/>
    <cellStyle name="60% - Énfasis4 4 2" xfId="574"/>
    <cellStyle name="60% - Énfasis4 4 3" xfId="575"/>
    <cellStyle name="60% - Énfasis4 4 4" xfId="576"/>
    <cellStyle name="60% - Énfasis4 4 5" xfId="577"/>
    <cellStyle name="60% - Énfasis4 4 6" xfId="578"/>
    <cellStyle name="60% - Énfasis4 4 7" xfId="579"/>
    <cellStyle name="60% - Énfasis4 4 8" xfId="580"/>
    <cellStyle name="60% - Énfasis4 4 9" xfId="581"/>
    <cellStyle name="60% - Énfasis5" xfId="582"/>
    <cellStyle name="60% - Énfasis5 2" xfId="583"/>
    <cellStyle name="60% - Énfasis5 2 10" xfId="584"/>
    <cellStyle name="60% - Énfasis5 2 11" xfId="585"/>
    <cellStyle name="60% - Énfasis5 2 2" xfId="586"/>
    <cellStyle name="60% - Énfasis5 2 3" xfId="587"/>
    <cellStyle name="60% - Énfasis5 2 4" xfId="588"/>
    <cellStyle name="60% - Énfasis5 2 5" xfId="589"/>
    <cellStyle name="60% - Énfasis5 2 6" xfId="590"/>
    <cellStyle name="60% - Énfasis5 2 7" xfId="591"/>
    <cellStyle name="60% - Énfasis5 2 8" xfId="592"/>
    <cellStyle name="60% - Énfasis5 2 9" xfId="593"/>
    <cellStyle name="60% - Énfasis5 3" xfId="594"/>
    <cellStyle name="60% - Énfasis5 3 10" xfId="595"/>
    <cellStyle name="60% - Énfasis5 3 11" xfId="596"/>
    <cellStyle name="60% - Énfasis5 3 2" xfId="597"/>
    <cellStyle name="60% - Énfasis5 3 3" xfId="598"/>
    <cellStyle name="60% - Énfasis5 3 4" xfId="599"/>
    <cellStyle name="60% - Énfasis5 3 5" xfId="600"/>
    <cellStyle name="60% - Énfasis5 3 6" xfId="601"/>
    <cellStyle name="60% - Énfasis5 3 7" xfId="602"/>
    <cellStyle name="60% - Énfasis5 3 8" xfId="603"/>
    <cellStyle name="60% - Énfasis5 3 9" xfId="604"/>
    <cellStyle name="60% - Énfasis5 4" xfId="605"/>
    <cellStyle name="60% - Énfasis5 4 10" xfId="606"/>
    <cellStyle name="60% - Énfasis5 4 11" xfId="607"/>
    <cellStyle name="60% - Énfasis5 4 2" xfId="608"/>
    <cellStyle name="60% - Énfasis5 4 3" xfId="609"/>
    <cellStyle name="60% - Énfasis5 4 4" xfId="610"/>
    <cellStyle name="60% - Énfasis5 4 5" xfId="611"/>
    <cellStyle name="60% - Énfasis5 4 6" xfId="612"/>
    <cellStyle name="60% - Énfasis5 4 7" xfId="613"/>
    <cellStyle name="60% - Énfasis5 4 8" xfId="614"/>
    <cellStyle name="60% - Énfasis5 4 9" xfId="615"/>
    <cellStyle name="60% - Énfasis6" xfId="616"/>
    <cellStyle name="60% - Énfasis6 2" xfId="617"/>
    <cellStyle name="60% - Énfasis6 2 10" xfId="618"/>
    <cellStyle name="60% - Énfasis6 2 11" xfId="619"/>
    <cellStyle name="60% - Énfasis6 2 2" xfId="620"/>
    <cellStyle name="60% - Énfasis6 2 3" xfId="621"/>
    <cellStyle name="60% - Énfasis6 2 4" xfId="622"/>
    <cellStyle name="60% - Énfasis6 2 5" xfId="623"/>
    <cellStyle name="60% - Énfasis6 2 6" xfId="624"/>
    <cellStyle name="60% - Énfasis6 2 7" xfId="625"/>
    <cellStyle name="60% - Énfasis6 2 8" xfId="626"/>
    <cellStyle name="60% - Énfasis6 2 9" xfId="627"/>
    <cellStyle name="60% - Énfasis6 3" xfId="628"/>
    <cellStyle name="60% - Énfasis6 3 10" xfId="629"/>
    <cellStyle name="60% - Énfasis6 3 11" xfId="630"/>
    <cellStyle name="60% - Énfasis6 3 2" xfId="631"/>
    <cellStyle name="60% - Énfasis6 3 3" xfId="632"/>
    <cellStyle name="60% - Énfasis6 3 4" xfId="633"/>
    <cellStyle name="60% - Énfasis6 3 5" xfId="634"/>
    <cellStyle name="60% - Énfasis6 3 6" xfId="635"/>
    <cellStyle name="60% - Énfasis6 3 7" xfId="636"/>
    <cellStyle name="60% - Énfasis6 3 8" xfId="637"/>
    <cellStyle name="60% - Énfasis6 3 9" xfId="638"/>
    <cellStyle name="60% - Énfasis6 4" xfId="639"/>
    <cellStyle name="60% - Énfasis6 4 10" xfId="640"/>
    <cellStyle name="60% - Énfasis6 4 11" xfId="641"/>
    <cellStyle name="60% - Énfasis6 4 2" xfId="642"/>
    <cellStyle name="60% - Énfasis6 4 3" xfId="643"/>
    <cellStyle name="60% - Énfasis6 4 4" xfId="644"/>
    <cellStyle name="60% - Énfasis6 4 5" xfId="645"/>
    <cellStyle name="60% - Énfasis6 4 6" xfId="646"/>
    <cellStyle name="60% - Énfasis6 4 7" xfId="647"/>
    <cellStyle name="60% - Énfasis6 4 8" xfId="648"/>
    <cellStyle name="60% - Énfasis6 4 9" xfId="649"/>
    <cellStyle name="Accent1" xfId="650"/>
    <cellStyle name="Accent2" xfId="651"/>
    <cellStyle name="Accent3" xfId="652"/>
    <cellStyle name="Accent4" xfId="653"/>
    <cellStyle name="Accent5" xfId="654"/>
    <cellStyle name="Accent6" xfId="655"/>
    <cellStyle name="Bad" xfId="656"/>
    <cellStyle name="Buena" xfId="657"/>
    <cellStyle name="Bueno" xfId="658"/>
    <cellStyle name="Calculation" xfId="659"/>
    <cellStyle name="Cálculo" xfId="660"/>
    <cellStyle name="Cálculo 2" xfId="661"/>
    <cellStyle name="Cálculo 2 10" xfId="662"/>
    <cellStyle name="Cálculo 2 11" xfId="663"/>
    <cellStyle name="Cálculo 2 2" xfId="664"/>
    <cellStyle name="Cálculo 2 3" xfId="665"/>
    <cellStyle name="Cálculo 2 4" xfId="666"/>
    <cellStyle name="Cálculo 2 5" xfId="667"/>
    <cellStyle name="Cálculo 2 6" xfId="668"/>
    <cellStyle name="Cálculo 2 7" xfId="669"/>
    <cellStyle name="Cálculo 2 8" xfId="670"/>
    <cellStyle name="Cálculo 2 9" xfId="671"/>
    <cellStyle name="Cálculo 3" xfId="672"/>
    <cellStyle name="Cálculo 3 10" xfId="673"/>
    <cellStyle name="Cálculo 3 11" xfId="674"/>
    <cellStyle name="Cálculo 3 2" xfId="675"/>
    <cellStyle name="Cálculo 3 3" xfId="676"/>
    <cellStyle name="Cálculo 3 4" xfId="677"/>
    <cellStyle name="Cálculo 3 5" xfId="678"/>
    <cellStyle name="Cálculo 3 6" xfId="679"/>
    <cellStyle name="Cálculo 3 7" xfId="680"/>
    <cellStyle name="Cálculo 3 8" xfId="681"/>
    <cellStyle name="Cálculo 3 9" xfId="682"/>
    <cellStyle name="Cálculo 4" xfId="683"/>
    <cellStyle name="Cálculo 4 10" xfId="684"/>
    <cellStyle name="Cálculo 4 11" xfId="685"/>
    <cellStyle name="Cálculo 4 2" xfId="686"/>
    <cellStyle name="Cálculo 4 3" xfId="687"/>
    <cellStyle name="Cálculo 4 4" xfId="688"/>
    <cellStyle name="Cálculo 4 5" xfId="689"/>
    <cellStyle name="Cálculo 4 6" xfId="690"/>
    <cellStyle name="Cálculo 4 7" xfId="691"/>
    <cellStyle name="Cálculo 4 8" xfId="692"/>
    <cellStyle name="Cálculo 4 9" xfId="693"/>
    <cellStyle name="Celda de comprobación" xfId="694"/>
    <cellStyle name="Celda de comprobación 2" xfId="695"/>
    <cellStyle name="Celda de comprobación 2 10" xfId="696"/>
    <cellStyle name="Celda de comprobación 2 11" xfId="697"/>
    <cellStyle name="Celda de comprobación 2 2" xfId="698"/>
    <cellStyle name="Celda de comprobación 2 3" xfId="699"/>
    <cellStyle name="Celda de comprobación 2 4" xfId="700"/>
    <cellStyle name="Celda de comprobación 2 5" xfId="701"/>
    <cellStyle name="Celda de comprobación 2 6" xfId="702"/>
    <cellStyle name="Celda de comprobación 2 7" xfId="703"/>
    <cellStyle name="Celda de comprobación 2 8" xfId="704"/>
    <cellStyle name="Celda de comprobación 2 9" xfId="705"/>
    <cellStyle name="Celda de comprobación 3" xfId="706"/>
    <cellStyle name="Celda de comprobación 3 10" xfId="707"/>
    <cellStyle name="Celda de comprobación 3 11" xfId="708"/>
    <cellStyle name="Celda de comprobación 3 2" xfId="709"/>
    <cellStyle name="Celda de comprobación 3 3" xfId="710"/>
    <cellStyle name="Celda de comprobación 3 4" xfId="711"/>
    <cellStyle name="Celda de comprobación 3 5" xfId="712"/>
    <cellStyle name="Celda de comprobación 3 6" xfId="713"/>
    <cellStyle name="Celda de comprobación 3 7" xfId="714"/>
    <cellStyle name="Celda de comprobación 3 8" xfId="715"/>
    <cellStyle name="Celda de comprobación 3 9" xfId="716"/>
    <cellStyle name="Celda de comprobación 4" xfId="717"/>
    <cellStyle name="Celda de comprobación 4 10" xfId="718"/>
    <cellStyle name="Celda de comprobación 4 11" xfId="719"/>
    <cellStyle name="Celda de comprobación 4 2" xfId="720"/>
    <cellStyle name="Celda de comprobación 4 3" xfId="721"/>
    <cellStyle name="Celda de comprobación 4 4" xfId="722"/>
    <cellStyle name="Celda de comprobación 4 5" xfId="723"/>
    <cellStyle name="Celda de comprobación 4 6" xfId="724"/>
    <cellStyle name="Celda de comprobación 4 7" xfId="725"/>
    <cellStyle name="Celda de comprobación 4 8" xfId="726"/>
    <cellStyle name="Celda de comprobación 4 9" xfId="727"/>
    <cellStyle name="Celda vinculada" xfId="728"/>
    <cellStyle name="Celda vinculada 2" xfId="729"/>
    <cellStyle name="Celda vinculada 2 10" xfId="730"/>
    <cellStyle name="Celda vinculada 2 11" xfId="731"/>
    <cellStyle name="Celda vinculada 2 2" xfId="732"/>
    <cellStyle name="Celda vinculada 2 3" xfId="733"/>
    <cellStyle name="Celda vinculada 2 4" xfId="734"/>
    <cellStyle name="Celda vinculada 2 5" xfId="735"/>
    <cellStyle name="Celda vinculada 2 6" xfId="736"/>
    <cellStyle name="Celda vinculada 2 7" xfId="737"/>
    <cellStyle name="Celda vinculada 2 8" xfId="738"/>
    <cellStyle name="Celda vinculada 2 9" xfId="739"/>
    <cellStyle name="Celda vinculada 3" xfId="740"/>
    <cellStyle name="Celda vinculada 3 10" xfId="741"/>
    <cellStyle name="Celda vinculada 3 11" xfId="742"/>
    <cellStyle name="Celda vinculada 3 2" xfId="743"/>
    <cellStyle name="Celda vinculada 3 3" xfId="744"/>
    <cellStyle name="Celda vinculada 3 4" xfId="745"/>
    <cellStyle name="Celda vinculada 3 5" xfId="746"/>
    <cellStyle name="Celda vinculada 3 6" xfId="747"/>
    <cellStyle name="Celda vinculada 3 7" xfId="748"/>
    <cellStyle name="Celda vinculada 3 8" xfId="749"/>
    <cellStyle name="Celda vinculada 3 9" xfId="750"/>
    <cellStyle name="Celda vinculada 4" xfId="751"/>
    <cellStyle name="Celda vinculada 4 10" xfId="752"/>
    <cellStyle name="Celda vinculada 4 11" xfId="753"/>
    <cellStyle name="Celda vinculada 4 2" xfId="754"/>
    <cellStyle name="Celda vinculada 4 3" xfId="755"/>
    <cellStyle name="Celda vinculada 4 4" xfId="756"/>
    <cellStyle name="Celda vinculada 4 5" xfId="757"/>
    <cellStyle name="Celda vinculada 4 6" xfId="758"/>
    <cellStyle name="Celda vinculada 4 7" xfId="759"/>
    <cellStyle name="Celda vinculada 4 8" xfId="760"/>
    <cellStyle name="Celda vinculada 4 9" xfId="761"/>
    <cellStyle name="Check Cell" xfId="762"/>
    <cellStyle name="Encabezado 1" xfId="763"/>
    <cellStyle name="Encabezado 4" xfId="764"/>
    <cellStyle name="Encabezado 4 2" xfId="765"/>
    <cellStyle name="Encabezado 4 2 10" xfId="766"/>
    <cellStyle name="Encabezado 4 2 11" xfId="767"/>
    <cellStyle name="Encabezado 4 2 2" xfId="768"/>
    <cellStyle name="Encabezado 4 2 3" xfId="769"/>
    <cellStyle name="Encabezado 4 2 4" xfId="770"/>
    <cellStyle name="Encabezado 4 2 5" xfId="771"/>
    <cellStyle name="Encabezado 4 2 6" xfId="772"/>
    <cellStyle name="Encabezado 4 2 7" xfId="773"/>
    <cellStyle name="Encabezado 4 2 8" xfId="774"/>
    <cellStyle name="Encabezado 4 2 9" xfId="775"/>
    <cellStyle name="Encabezado 4 3" xfId="776"/>
    <cellStyle name="Encabezado 4 3 10" xfId="777"/>
    <cellStyle name="Encabezado 4 3 11" xfId="778"/>
    <cellStyle name="Encabezado 4 3 2" xfId="779"/>
    <cellStyle name="Encabezado 4 3 3" xfId="780"/>
    <cellStyle name="Encabezado 4 3 4" xfId="781"/>
    <cellStyle name="Encabezado 4 3 5" xfId="782"/>
    <cellStyle name="Encabezado 4 3 6" xfId="783"/>
    <cellStyle name="Encabezado 4 3 7" xfId="784"/>
    <cellStyle name="Encabezado 4 3 8" xfId="785"/>
    <cellStyle name="Encabezado 4 3 9" xfId="786"/>
    <cellStyle name="Encabezado 4 4" xfId="787"/>
    <cellStyle name="Encabezado 4 4 10" xfId="788"/>
    <cellStyle name="Encabezado 4 4 11" xfId="789"/>
    <cellStyle name="Encabezado 4 4 2" xfId="790"/>
    <cellStyle name="Encabezado 4 4 3" xfId="791"/>
    <cellStyle name="Encabezado 4 4 4" xfId="792"/>
    <cellStyle name="Encabezado 4 4 5" xfId="793"/>
    <cellStyle name="Encabezado 4 4 6" xfId="794"/>
    <cellStyle name="Encabezado 4 4 7" xfId="795"/>
    <cellStyle name="Encabezado 4 4 8" xfId="796"/>
    <cellStyle name="Encabezado 4 4 9" xfId="797"/>
    <cellStyle name="Énfasis1" xfId="798"/>
    <cellStyle name="Énfasis1 2" xfId="799"/>
    <cellStyle name="Énfasis1 2 10" xfId="800"/>
    <cellStyle name="Énfasis1 2 11" xfId="801"/>
    <cellStyle name="Énfasis1 2 2" xfId="802"/>
    <cellStyle name="Énfasis1 2 3" xfId="803"/>
    <cellStyle name="Énfasis1 2 4" xfId="804"/>
    <cellStyle name="Énfasis1 2 5" xfId="805"/>
    <cellStyle name="Énfasis1 2 6" xfId="806"/>
    <cellStyle name="Énfasis1 2 7" xfId="807"/>
    <cellStyle name="Énfasis1 2 8" xfId="808"/>
    <cellStyle name="Énfasis1 2 9" xfId="809"/>
    <cellStyle name="Énfasis1 3" xfId="810"/>
    <cellStyle name="Énfasis1 3 10" xfId="811"/>
    <cellStyle name="Énfasis1 3 11" xfId="812"/>
    <cellStyle name="Énfasis1 3 2" xfId="813"/>
    <cellStyle name="Énfasis1 3 3" xfId="814"/>
    <cellStyle name="Énfasis1 3 4" xfId="815"/>
    <cellStyle name="Énfasis1 3 5" xfId="816"/>
    <cellStyle name="Énfasis1 3 6" xfId="817"/>
    <cellStyle name="Énfasis1 3 7" xfId="818"/>
    <cellStyle name="Énfasis1 3 8" xfId="819"/>
    <cellStyle name="Énfasis1 3 9" xfId="820"/>
    <cellStyle name="Énfasis1 4" xfId="821"/>
    <cellStyle name="Énfasis1 4 10" xfId="822"/>
    <cellStyle name="Énfasis1 4 11" xfId="823"/>
    <cellStyle name="Énfasis1 4 2" xfId="824"/>
    <cellStyle name="Énfasis1 4 3" xfId="825"/>
    <cellStyle name="Énfasis1 4 4" xfId="826"/>
    <cellStyle name="Énfasis1 4 5" xfId="827"/>
    <cellStyle name="Énfasis1 4 6" xfId="828"/>
    <cellStyle name="Énfasis1 4 7" xfId="829"/>
    <cellStyle name="Énfasis1 4 8" xfId="830"/>
    <cellStyle name="Énfasis1 4 9" xfId="831"/>
    <cellStyle name="Énfasis2" xfId="832"/>
    <cellStyle name="Énfasis2 2" xfId="833"/>
    <cellStyle name="Énfasis2 2 10" xfId="834"/>
    <cellStyle name="Énfasis2 2 11" xfId="835"/>
    <cellStyle name="Énfasis2 2 2" xfId="836"/>
    <cellStyle name="Énfasis2 2 3" xfId="837"/>
    <cellStyle name="Énfasis2 2 4" xfId="838"/>
    <cellStyle name="Énfasis2 2 5" xfId="839"/>
    <cellStyle name="Énfasis2 2 6" xfId="840"/>
    <cellStyle name="Énfasis2 2 7" xfId="841"/>
    <cellStyle name="Énfasis2 2 8" xfId="842"/>
    <cellStyle name="Énfasis2 2 9" xfId="843"/>
    <cellStyle name="Énfasis2 3" xfId="844"/>
    <cellStyle name="Énfasis2 3 10" xfId="845"/>
    <cellStyle name="Énfasis2 3 11" xfId="846"/>
    <cellStyle name="Énfasis2 3 2" xfId="847"/>
    <cellStyle name="Énfasis2 3 3" xfId="848"/>
    <cellStyle name="Énfasis2 3 4" xfId="849"/>
    <cellStyle name="Énfasis2 3 5" xfId="850"/>
    <cellStyle name="Énfasis2 3 6" xfId="851"/>
    <cellStyle name="Énfasis2 3 7" xfId="852"/>
    <cellStyle name="Énfasis2 3 8" xfId="853"/>
    <cellStyle name="Énfasis2 3 9" xfId="854"/>
    <cellStyle name="Énfasis2 4" xfId="855"/>
    <cellStyle name="Énfasis2 4 10" xfId="856"/>
    <cellStyle name="Énfasis2 4 11" xfId="857"/>
    <cellStyle name="Énfasis2 4 2" xfId="858"/>
    <cellStyle name="Énfasis2 4 3" xfId="859"/>
    <cellStyle name="Énfasis2 4 4" xfId="860"/>
    <cellStyle name="Énfasis2 4 5" xfId="861"/>
    <cellStyle name="Énfasis2 4 6" xfId="862"/>
    <cellStyle name="Énfasis2 4 7" xfId="863"/>
    <cellStyle name="Énfasis2 4 8" xfId="864"/>
    <cellStyle name="Énfasis2 4 9" xfId="865"/>
    <cellStyle name="Énfasis3" xfId="866"/>
    <cellStyle name="Énfasis3 2" xfId="867"/>
    <cellStyle name="Énfasis3 2 10" xfId="868"/>
    <cellStyle name="Énfasis3 2 11" xfId="869"/>
    <cellStyle name="Énfasis3 2 2" xfId="870"/>
    <cellStyle name="Énfasis3 2 3" xfId="871"/>
    <cellStyle name="Énfasis3 2 4" xfId="872"/>
    <cellStyle name="Énfasis3 2 5" xfId="873"/>
    <cellStyle name="Énfasis3 2 6" xfId="874"/>
    <cellStyle name="Énfasis3 2 7" xfId="875"/>
    <cellStyle name="Énfasis3 2 8" xfId="876"/>
    <cellStyle name="Énfasis3 2 9" xfId="877"/>
    <cellStyle name="Énfasis3 3" xfId="878"/>
    <cellStyle name="Énfasis3 3 10" xfId="879"/>
    <cellStyle name="Énfasis3 3 11" xfId="880"/>
    <cellStyle name="Énfasis3 3 2" xfId="881"/>
    <cellStyle name="Énfasis3 3 3" xfId="882"/>
    <cellStyle name="Énfasis3 3 4" xfId="883"/>
    <cellStyle name="Énfasis3 3 5" xfId="884"/>
    <cellStyle name="Énfasis3 3 6" xfId="885"/>
    <cellStyle name="Énfasis3 3 7" xfId="886"/>
    <cellStyle name="Énfasis3 3 8" xfId="887"/>
    <cellStyle name="Énfasis3 3 9" xfId="888"/>
    <cellStyle name="Énfasis3 4" xfId="889"/>
    <cellStyle name="Énfasis3 4 10" xfId="890"/>
    <cellStyle name="Énfasis3 4 11" xfId="891"/>
    <cellStyle name="Énfasis3 4 2" xfId="892"/>
    <cellStyle name="Énfasis3 4 3" xfId="893"/>
    <cellStyle name="Énfasis3 4 4" xfId="894"/>
    <cellStyle name="Énfasis3 4 5" xfId="895"/>
    <cellStyle name="Énfasis3 4 6" xfId="896"/>
    <cellStyle name="Énfasis3 4 7" xfId="897"/>
    <cellStyle name="Énfasis3 4 8" xfId="898"/>
    <cellStyle name="Énfasis3 4 9" xfId="899"/>
    <cellStyle name="Énfasis4" xfId="900"/>
    <cellStyle name="Énfasis4 2" xfId="901"/>
    <cellStyle name="Énfasis4 2 10" xfId="902"/>
    <cellStyle name="Énfasis4 2 11" xfId="903"/>
    <cellStyle name="Énfasis4 2 2" xfId="904"/>
    <cellStyle name="Énfasis4 2 3" xfId="905"/>
    <cellStyle name="Énfasis4 2 4" xfId="906"/>
    <cellStyle name="Énfasis4 2 5" xfId="907"/>
    <cellStyle name="Énfasis4 2 6" xfId="908"/>
    <cellStyle name="Énfasis4 2 7" xfId="909"/>
    <cellStyle name="Énfasis4 2 8" xfId="910"/>
    <cellStyle name="Énfasis4 2 9" xfId="911"/>
    <cellStyle name="Énfasis4 3" xfId="912"/>
    <cellStyle name="Énfasis4 3 10" xfId="913"/>
    <cellStyle name="Énfasis4 3 11" xfId="914"/>
    <cellStyle name="Énfasis4 3 2" xfId="915"/>
    <cellStyle name="Énfasis4 3 3" xfId="916"/>
    <cellStyle name="Énfasis4 3 4" xfId="917"/>
    <cellStyle name="Énfasis4 3 5" xfId="918"/>
    <cellStyle name="Énfasis4 3 6" xfId="919"/>
    <cellStyle name="Énfasis4 3 7" xfId="920"/>
    <cellStyle name="Énfasis4 3 8" xfId="921"/>
    <cellStyle name="Énfasis4 3 9" xfId="922"/>
    <cellStyle name="Énfasis4 4" xfId="923"/>
    <cellStyle name="Énfasis4 4 10" xfId="924"/>
    <cellStyle name="Énfasis4 4 11" xfId="925"/>
    <cellStyle name="Énfasis4 4 2" xfId="926"/>
    <cellStyle name="Énfasis4 4 3" xfId="927"/>
    <cellStyle name="Énfasis4 4 4" xfId="928"/>
    <cellStyle name="Énfasis4 4 5" xfId="929"/>
    <cellStyle name="Énfasis4 4 6" xfId="930"/>
    <cellStyle name="Énfasis4 4 7" xfId="931"/>
    <cellStyle name="Énfasis4 4 8" xfId="932"/>
    <cellStyle name="Énfasis4 4 9" xfId="933"/>
    <cellStyle name="Énfasis5" xfId="934"/>
    <cellStyle name="Énfasis5 2" xfId="935"/>
    <cellStyle name="Énfasis5 2 10" xfId="936"/>
    <cellStyle name="Énfasis5 2 11" xfId="937"/>
    <cellStyle name="Énfasis5 2 2" xfId="938"/>
    <cellStyle name="Énfasis5 2 3" xfId="939"/>
    <cellStyle name="Énfasis5 2 4" xfId="940"/>
    <cellStyle name="Énfasis5 2 5" xfId="941"/>
    <cellStyle name="Énfasis5 2 6" xfId="942"/>
    <cellStyle name="Énfasis5 2 7" xfId="943"/>
    <cellStyle name="Énfasis5 2 8" xfId="944"/>
    <cellStyle name="Énfasis5 2 9" xfId="945"/>
    <cellStyle name="Énfasis5 3" xfId="946"/>
    <cellStyle name="Énfasis5 3 10" xfId="947"/>
    <cellStyle name="Énfasis5 3 11" xfId="948"/>
    <cellStyle name="Énfasis5 3 2" xfId="949"/>
    <cellStyle name="Énfasis5 3 3" xfId="950"/>
    <cellStyle name="Énfasis5 3 4" xfId="951"/>
    <cellStyle name="Énfasis5 3 5" xfId="952"/>
    <cellStyle name="Énfasis5 3 6" xfId="953"/>
    <cellStyle name="Énfasis5 3 7" xfId="954"/>
    <cellStyle name="Énfasis5 3 8" xfId="955"/>
    <cellStyle name="Énfasis5 3 9" xfId="956"/>
    <cellStyle name="Énfasis5 4" xfId="957"/>
    <cellStyle name="Énfasis5 4 10" xfId="958"/>
    <cellStyle name="Énfasis5 4 11" xfId="959"/>
    <cellStyle name="Énfasis5 4 2" xfId="960"/>
    <cellStyle name="Énfasis5 4 3" xfId="961"/>
    <cellStyle name="Énfasis5 4 4" xfId="962"/>
    <cellStyle name="Énfasis5 4 5" xfId="963"/>
    <cellStyle name="Énfasis5 4 6" xfId="964"/>
    <cellStyle name="Énfasis5 4 7" xfId="965"/>
    <cellStyle name="Énfasis5 4 8" xfId="966"/>
    <cellStyle name="Énfasis5 4 9" xfId="967"/>
    <cellStyle name="Énfasis6" xfId="968"/>
    <cellStyle name="Énfasis6 2" xfId="969"/>
    <cellStyle name="Énfasis6 2 10" xfId="970"/>
    <cellStyle name="Énfasis6 2 11" xfId="971"/>
    <cellStyle name="Énfasis6 2 2" xfId="972"/>
    <cellStyle name="Énfasis6 2 3" xfId="973"/>
    <cellStyle name="Énfasis6 2 4" xfId="974"/>
    <cellStyle name="Énfasis6 2 5" xfId="975"/>
    <cellStyle name="Énfasis6 2 6" xfId="976"/>
    <cellStyle name="Énfasis6 2 7" xfId="977"/>
    <cellStyle name="Énfasis6 2 8" xfId="978"/>
    <cellStyle name="Énfasis6 2 9" xfId="979"/>
    <cellStyle name="Énfasis6 3" xfId="980"/>
    <cellStyle name="Énfasis6 3 10" xfId="981"/>
    <cellStyle name="Énfasis6 3 11" xfId="982"/>
    <cellStyle name="Énfasis6 3 2" xfId="983"/>
    <cellStyle name="Énfasis6 3 3" xfId="984"/>
    <cellStyle name="Énfasis6 3 4" xfId="985"/>
    <cellStyle name="Énfasis6 3 5" xfId="986"/>
    <cellStyle name="Énfasis6 3 6" xfId="987"/>
    <cellStyle name="Énfasis6 3 7" xfId="988"/>
    <cellStyle name="Énfasis6 3 8" xfId="989"/>
    <cellStyle name="Énfasis6 3 9" xfId="990"/>
    <cellStyle name="Énfasis6 4" xfId="991"/>
    <cellStyle name="Énfasis6 4 10" xfId="992"/>
    <cellStyle name="Énfasis6 4 11" xfId="993"/>
    <cellStyle name="Énfasis6 4 2" xfId="994"/>
    <cellStyle name="Énfasis6 4 3" xfId="995"/>
    <cellStyle name="Énfasis6 4 4" xfId="996"/>
    <cellStyle name="Énfasis6 4 5" xfId="997"/>
    <cellStyle name="Énfasis6 4 6" xfId="998"/>
    <cellStyle name="Énfasis6 4 7" xfId="999"/>
    <cellStyle name="Énfasis6 4 8" xfId="1000"/>
    <cellStyle name="Énfasis6 4 9" xfId="1001"/>
    <cellStyle name="Entrada" xfId="1002"/>
    <cellStyle name="Entrada 2" xfId="1003"/>
    <cellStyle name="Entrada 2 10" xfId="1004"/>
    <cellStyle name="Entrada 2 11" xfId="1005"/>
    <cellStyle name="Entrada 2 2" xfId="1006"/>
    <cellStyle name="Entrada 2 3" xfId="1007"/>
    <cellStyle name="Entrada 2 4" xfId="1008"/>
    <cellStyle name="Entrada 2 5" xfId="1009"/>
    <cellStyle name="Entrada 2 6" xfId="1010"/>
    <cellStyle name="Entrada 2 7" xfId="1011"/>
    <cellStyle name="Entrada 2 8" xfId="1012"/>
    <cellStyle name="Entrada 2 9" xfId="1013"/>
    <cellStyle name="Entrada 3" xfId="1014"/>
    <cellStyle name="Entrada 3 10" xfId="1015"/>
    <cellStyle name="Entrada 3 11" xfId="1016"/>
    <cellStyle name="Entrada 3 2" xfId="1017"/>
    <cellStyle name="Entrada 3 3" xfId="1018"/>
    <cellStyle name="Entrada 3 4" xfId="1019"/>
    <cellStyle name="Entrada 3 5" xfId="1020"/>
    <cellStyle name="Entrada 3 6" xfId="1021"/>
    <cellStyle name="Entrada 3 7" xfId="1022"/>
    <cellStyle name="Entrada 3 8" xfId="1023"/>
    <cellStyle name="Entrada 3 9" xfId="1024"/>
    <cellStyle name="Entrada 4" xfId="1025"/>
    <cellStyle name="Entrada 4 10" xfId="1026"/>
    <cellStyle name="Entrada 4 11" xfId="1027"/>
    <cellStyle name="Entrada 4 2" xfId="1028"/>
    <cellStyle name="Entrada 4 3" xfId="1029"/>
    <cellStyle name="Entrada 4 4" xfId="1030"/>
    <cellStyle name="Entrada 4 5" xfId="1031"/>
    <cellStyle name="Entrada 4 6" xfId="1032"/>
    <cellStyle name="Entrada 4 7" xfId="1033"/>
    <cellStyle name="Entrada 4 8" xfId="1034"/>
    <cellStyle name="Entrada 4 9" xfId="1035"/>
    <cellStyle name="Euro" xfId="1036"/>
    <cellStyle name="Euro 10" xfId="1037"/>
    <cellStyle name="Euro 10 2" xfId="1038"/>
    <cellStyle name="Euro 11" xfId="1039"/>
    <cellStyle name="Euro 11 2" xfId="1040"/>
    <cellStyle name="Euro 12" xfId="1041"/>
    <cellStyle name="Euro 13" xfId="1042"/>
    <cellStyle name="Euro 13 2" xfId="1043"/>
    <cellStyle name="Euro 14" xfId="1044"/>
    <cellStyle name="Euro 14 2" xfId="1045"/>
    <cellStyle name="Euro 15" xfId="1046"/>
    <cellStyle name="Euro 15 2" xfId="1047"/>
    <cellStyle name="Euro 16" xfId="1048"/>
    <cellStyle name="Euro 16 2" xfId="1049"/>
    <cellStyle name="Euro 17" xfId="1050"/>
    <cellStyle name="Euro 17 2" xfId="1051"/>
    <cellStyle name="Euro 18" xfId="1052"/>
    <cellStyle name="Euro 18 2" xfId="1053"/>
    <cellStyle name="Euro 18 3" xfId="1054"/>
    <cellStyle name="Euro 18 3 2" xfId="1055"/>
    <cellStyle name="Euro 18 4" xfId="1056"/>
    <cellStyle name="Euro 18 4 2" xfId="1057"/>
    <cellStyle name="Euro 19" xfId="1058"/>
    <cellStyle name="Euro 19 2" xfId="1059"/>
    <cellStyle name="Euro 2" xfId="1060"/>
    <cellStyle name="Euro 2 10" xfId="1061"/>
    <cellStyle name="Euro 2 11" xfId="1062"/>
    <cellStyle name="Euro 2 2" xfId="1063"/>
    <cellStyle name="Euro 2 3" xfId="1064"/>
    <cellStyle name="Euro 2 4" xfId="1065"/>
    <cellStyle name="Euro 2 5" xfId="1066"/>
    <cellStyle name="Euro 2 6" xfId="1067"/>
    <cellStyle name="Euro 2 7" xfId="1068"/>
    <cellStyle name="Euro 2 8" xfId="1069"/>
    <cellStyle name="Euro 2 9" xfId="1070"/>
    <cellStyle name="Euro 20" xfId="1071"/>
    <cellStyle name="Euro 20 2" xfId="1072"/>
    <cellStyle name="Euro 21" xfId="1073"/>
    <cellStyle name="Euro 21 2" xfId="1074"/>
    <cellStyle name="Euro 22" xfId="1075"/>
    <cellStyle name="Euro 22 2" xfId="1076"/>
    <cellStyle name="Euro 23" xfId="1077"/>
    <cellStyle name="Euro 23 2" xfId="1078"/>
    <cellStyle name="Euro 23 3" xfId="1079"/>
    <cellStyle name="Euro 24" xfId="1080"/>
    <cellStyle name="Euro 24 2" xfId="1081"/>
    <cellStyle name="Euro 25" xfId="1082"/>
    <cellStyle name="Euro 25 2" xfId="1083"/>
    <cellStyle name="Euro 26" xfId="1084"/>
    <cellStyle name="Euro 26 2" xfId="1085"/>
    <cellStyle name="Euro 27" xfId="1086"/>
    <cellStyle name="Euro 27 2" xfId="1087"/>
    <cellStyle name="Euro 27 3" xfId="1088"/>
    <cellStyle name="Euro 28" xfId="1089"/>
    <cellStyle name="Euro 28 2" xfId="1090"/>
    <cellStyle name="Euro 29" xfId="1091"/>
    <cellStyle name="Euro 29 2" xfId="1092"/>
    <cellStyle name="Euro 3" xfId="1093"/>
    <cellStyle name="Euro 3 10" xfId="1094"/>
    <cellStyle name="Euro 3 11" xfId="1095"/>
    <cellStyle name="Euro 3 2" xfId="1096"/>
    <cellStyle name="Euro 3 3" xfId="1097"/>
    <cellStyle name="Euro 3 4" xfId="1098"/>
    <cellStyle name="Euro 3 5" xfId="1099"/>
    <cellStyle name="Euro 3 6" xfId="1100"/>
    <cellStyle name="Euro 3 7" xfId="1101"/>
    <cellStyle name="Euro 3 8" xfId="1102"/>
    <cellStyle name="Euro 3 9" xfId="1103"/>
    <cellStyle name="Euro 30" xfId="1104"/>
    <cellStyle name="Euro 4" xfId="1105"/>
    <cellStyle name="Euro 5" xfId="1106"/>
    <cellStyle name="Euro 5 2" xfId="1107"/>
    <cellStyle name="Euro 5 3" xfId="1108"/>
    <cellStyle name="Euro 5 4" xfId="1109"/>
    <cellStyle name="Euro 5 5" xfId="1110"/>
    <cellStyle name="Euro 5 6" xfId="1111"/>
    <cellStyle name="Euro 5 7" xfId="1112"/>
    <cellStyle name="Euro 6" xfId="1113"/>
    <cellStyle name="Euro 6 2" xfId="1114"/>
    <cellStyle name="Euro 6 3" xfId="1115"/>
    <cellStyle name="Euro 6 4" xfId="1116"/>
    <cellStyle name="Euro 6 5" xfId="1117"/>
    <cellStyle name="Euro 6 6" xfId="1118"/>
    <cellStyle name="Euro 7" xfId="1119"/>
    <cellStyle name="Euro 7 2" xfId="1120"/>
    <cellStyle name="Euro 7 3" xfId="1121"/>
    <cellStyle name="Euro 7 4" xfId="1122"/>
    <cellStyle name="Euro 7 5" xfId="1123"/>
    <cellStyle name="Euro 7 6" xfId="1124"/>
    <cellStyle name="Euro 8" xfId="1125"/>
    <cellStyle name="Euro 8 2" xfId="1126"/>
    <cellStyle name="Euro 8 3" xfId="1127"/>
    <cellStyle name="Euro 8 4" xfId="1128"/>
    <cellStyle name="Euro 8 5" xfId="1129"/>
    <cellStyle name="Euro 9" xfId="1130"/>
    <cellStyle name="Explanatory Text" xfId="1131"/>
    <cellStyle name="Good" xfId="1132"/>
    <cellStyle name="Heading 1" xfId="1133"/>
    <cellStyle name="Heading 2" xfId="1134"/>
    <cellStyle name="Heading 3" xfId="1135"/>
    <cellStyle name="Heading 4" xfId="1136"/>
    <cellStyle name="Hyperlink" xfId="1137" builtinId="8"/>
    <cellStyle name="Followed Hyperlink" xfId="1138" builtinId="9"/>
    <cellStyle name="Incorrecto" xfId="1139"/>
    <cellStyle name="Incorrecto 2" xfId="1140"/>
    <cellStyle name="Incorrecto 2 10" xfId="1141"/>
    <cellStyle name="Incorrecto 2 11" xfId="1142"/>
    <cellStyle name="Incorrecto 2 2" xfId="1143"/>
    <cellStyle name="Incorrecto 2 3" xfId="1144"/>
    <cellStyle name="Incorrecto 2 4" xfId="1145"/>
    <cellStyle name="Incorrecto 2 5" xfId="1146"/>
    <cellStyle name="Incorrecto 2 6" xfId="1147"/>
    <cellStyle name="Incorrecto 2 7" xfId="1148"/>
    <cellStyle name="Incorrecto 2 8" xfId="1149"/>
    <cellStyle name="Incorrecto 2 9" xfId="1150"/>
    <cellStyle name="Incorrecto 3" xfId="1151"/>
    <cellStyle name="Incorrecto 3 10" xfId="1152"/>
    <cellStyle name="Incorrecto 3 11" xfId="1153"/>
    <cellStyle name="Incorrecto 3 2" xfId="1154"/>
    <cellStyle name="Incorrecto 3 3" xfId="1155"/>
    <cellStyle name="Incorrecto 3 4" xfId="1156"/>
    <cellStyle name="Incorrecto 3 5" xfId="1157"/>
    <cellStyle name="Incorrecto 3 6" xfId="1158"/>
    <cellStyle name="Incorrecto 3 7" xfId="1159"/>
    <cellStyle name="Incorrecto 3 8" xfId="1160"/>
    <cellStyle name="Incorrecto 3 9" xfId="1161"/>
    <cellStyle name="Incorrecto 4" xfId="1162"/>
    <cellStyle name="Incorrecto 4 10" xfId="1163"/>
    <cellStyle name="Incorrecto 4 11" xfId="1164"/>
    <cellStyle name="Incorrecto 4 2" xfId="1165"/>
    <cellStyle name="Incorrecto 4 3" xfId="1166"/>
    <cellStyle name="Incorrecto 4 4" xfId="1167"/>
    <cellStyle name="Incorrecto 4 5" xfId="1168"/>
    <cellStyle name="Incorrecto 4 6" xfId="1169"/>
    <cellStyle name="Incorrecto 4 7" xfId="1170"/>
    <cellStyle name="Incorrecto 4 8" xfId="1171"/>
    <cellStyle name="Incorrecto 4 9" xfId="1172"/>
    <cellStyle name="Input" xfId="1173"/>
    <cellStyle name="Linked Cell" xfId="1174"/>
    <cellStyle name="Millares 10" xfId="1175"/>
    <cellStyle name="Millares 10 2" xfId="1176"/>
    <cellStyle name="Millares 10 3" xfId="1177"/>
    <cellStyle name="Millares 10 3 2" xfId="1178"/>
    <cellStyle name="Millares 11" xfId="1179"/>
    <cellStyle name="Millares 12" xfId="1180"/>
    <cellStyle name="Millares 13" xfId="1181"/>
    <cellStyle name="Millares 14" xfId="1182"/>
    <cellStyle name="Millares 14 2" xfId="1183"/>
    <cellStyle name="Millares 15" xfId="1184"/>
    <cellStyle name="Millares 15 2" xfId="1185"/>
    <cellStyle name="Millares 16" xfId="1186"/>
    <cellStyle name="Millares 16 2" xfId="1187"/>
    <cellStyle name="Millares 17" xfId="1188"/>
    <cellStyle name="Millares 17 2" xfId="1189"/>
    <cellStyle name="Millares 17 3" xfId="1190"/>
    <cellStyle name="Millares 17 3 2" xfId="1191"/>
    <cellStyle name="Millares 17 4" xfId="1192"/>
    <cellStyle name="Millares 18" xfId="1193"/>
    <cellStyle name="Millares 18 2" xfId="1194"/>
    <cellStyle name="Millares 19" xfId="1195"/>
    <cellStyle name="Millares 19 2" xfId="1196"/>
    <cellStyle name="Millares 19 3" xfId="1197"/>
    <cellStyle name="Millares 19 3 2" xfId="1198"/>
    <cellStyle name="Millares 19 4" xfId="1199"/>
    <cellStyle name="Millares 19 4 2" xfId="1200"/>
    <cellStyle name="Millares 2" xfId="1201"/>
    <cellStyle name="Millares 2 2" xfId="1202"/>
    <cellStyle name="Millares 2 3" xfId="1203"/>
    <cellStyle name="Millares 20" xfId="1204"/>
    <cellStyle name="Millares 20 2" xfId="1205"/>
    <cellStyle name="Millares 21" xfId="1206"/>
    <cellStyle name="Millares 21 2" xfId="1207"/>
    <cellStyle name="Millares 22" xfId="1208"/>
    <cellStyle name="Millares 22 2" xfId="1209"/>
    <cellStyle name="Millares 23" xfId="1210"/>
    <cellStyle name="Millares 23 2" xfId="1211"/>
    <cellStyle name="Millares 24" xfId="1212"/>
    <cellStyle name="Millares 24 2" xfId="1213"/>
    <cellStyle name="Millares 24 3" xfId="1214"/>
    <cellStyle name="Millares 25" xfId="1215"/>
    <cellStyle name="Millares 25 2" xfId="1216"/>
    <cellStyle name="Millares 26" xfId="1217"/>
    <cellStyle name="Millares 26 2" xfId="1218"/>
    <cellStyle name="Millares 27" xfId="1219"/>
    <cellStyle name="Millares 27 2" xfId="1220"/>
    <cellStyle name="Millares 28" xfId="1221"/>
    <cellStyle name="Millares 28 2" xfId="1222"/>
    <cellStyle name="Millares 28 3" xfId="1223"/>
    <cellStyle name="Millares 29" xfId="1224"/>
    <cellStyle name="Millares 29 2" xfId="1225"/>
    <cellStyle name="Millares 3" xfId="1226"/>
    <cellStyle name="Millares 30" xfId="1227"/>
    <cellStyle name="Millares 30 2" xfId="1228"/>
    <cellStyle name="Millares 31" xfId="1229"/>
    <cellStyle name="Millares 4" xfId="1230"/>
    <cellStyle name="Millares 4 2" xfId="1231"/>
    <cellStyle name="Millares 4 3" xfId="1232"/>
    <cellStyle name="Millares 4 4" xfId="1233"/>
    <cellStyle name="Millares 5" xfId="1234"/>
    <cellStyle name="Millares 5 2" xfId="1235"/>
    <cellStyle name="Millares 5 2 2" xfId="1236"/>
    <cellStyle name="Millares 5 2 3" xfId="1237"/>
    <cellStyle name="Millares 5 2 4" xfId="1238"/>
    <cellStyle name="Millares 5 2 5" xfId="1239"/>
    <cellStyle name="Millares 5 2 6" xfId="1240"/>
    <cellStyle name="Millares 5 3" xfId="1241"/>
    <cellStyle name="Millares 6" xfId="1242"/>
    <cellStyle name="Millares 7" xfId="1243"/>
    <cellStyle name="Millares 8" xfId="1244"/>
    <cellStyle name="Millares 8 2" xfId="1245"/>
    <cellStyle name="Millares 8 3" xfId="1246"/>
    <cellStyle name="Millares 8 4" xfId="1247"/>
    <cellStyle name="Millares 8 5" xfId="1248"/>
    <cellStyle name="Millares 8 6" xfId="1249"/>
    <cellStyle name="Millares 8 6 2" xfId="1250"/>
    <cellStyle name="Millares 9" xfId="1251"/>
    <cellStyle name="Millares 9 2" xfId="1252"/>
    <cellStyle name="Millares 9 3" xfId="1253"/>
    <cellStyle name="Millares 9 4" xfId="1254"/>
    <cellStyle name="Millares 9 5" xfId="1255"/>
    <cellStyle name="Moneda 10" xfId="1256"/>
    <cellStyle name="Moneda 10 2" xfId="1257"/>
    <cellStyle name="Moneda 11" xfId="1258"/>
    <cellStyle name="Moneda 11 2" xfId="1259"/>
    <cellStyle name="Moneda 12" xfId="1260"/>
    <cellStyle name="Moneda 12 2" xfId="1261"/>
    <cellStyle name="Moneda 12 3" xfId="1262"/>
    <cellStyle name="Moneda 13" xfId="1263"/>
    <cellStyle name="Moneda 13 2" xfId="1264"/>
    <cellStyle name="Moneda 14" xfId="1265"/>
    <cellStyle name="Moneda 14 2" xfId="1266"/>
    <cellStyle name="Moneda 15" xfId="1267"/>
    <cellStyle name="Moneda 15 2" xfId="1268"/>
    <cellStyle name="Moneda 16" xfId="1269"/>
    <cellStyle name="Moneda 16 2" xfId="1270"/>
    <cellStyle name="Moneda 16 3" xfId="1271"/>
    <cellStyle name="Moneda 17" xfId="1272"/>
    <cellStyle name="Moneda 17 2" xfId="1273"/>
    <cellStyle name="Moneda 18" xfId="1274"/>
    <cellStyle name="Moneda 18 2" xfId="1275"/>
    <cellStyle name="Moneda 19" xfId="1276"/>
    <cellStyle name="Moneda 2" xfId="1277"/>
    <cellStyle name="Moneda 3" xfId="1278"/>
    <cellStyle name="Moneda 3 2" xfId="1279"/>
    <cellStyle name="Moneda 4" xfId="1280"/>
    <cellStyle name="Moneda 4 2" xfId="1281"/>
    <cellStyle name="Moneda 5" xfId="1282"/>
    <cellStyle name="Moneda 5 2" xfId="1283"/>
    <cellStyle name="Moneda 6" xfId="1284"/>
    <cellStyle name="Moneda 6 2" xfId="1285"/>
    <cellStyle name="Moneda 7" xfId="1286"/>
    <cellStyle name="Moneda 7 2" xfId="1287"/>
    <cellStyle name="Moneda 7 3" xfId="1288"/>
    <cellStyle name="Moneda 7 3 2" xfId="1289"/>
    <cellStyle name="Moneda 7 4" xfId="1290"/>
    <cellStyle name="Moneda 7 4 2" xfId="1291"/>
    <cellStyle name="Moneda 8" xfId="1292"/>
    <cellStyle name="Moneda 8 2" xfId="1293"/>
    <cellStyle name="Moneda 9" xfId="1294"/>
    <cellStyle name="Moneda 9 2" xfId="1295"/>
    <cellStyle name="Neutral" xfId="1296"/>
    <cellStyle name="Neutral 2" xfId="1297"/>
    <cellStyle name="Neutral 2 10" xfId="1298"/>
    <cellStyle name="Neutral 2 11" xfId="1299"/>
    <cellStyle name="Neutral 2 2" xfId="1300"/>
    <cellStyle name="Neutral 2 3" xfId="1301"/>
    <cellStyle name="Neutral 2 4" xfId="1302"/>
    <cellStyle name="Neutral 2 5" xfId="1303"/>
    <cellStyle name="Neutral 2 6" xfId="1304"/>
    <cellStyle name="Neutral 2 7" xfId="1305"/>
    <cellStyle name="Neutral 2 8" xfId="1306"/>
    <cellStyle name="Neutral 2 9" xfId="1307"/>
    <cellStyle name="Neutral 3" xfId="1308"/>
    <cellStyle name="Neutral 3 10" xfId="1309"/>
    <cellStyle name="Neutral 3 11" xfId="1310"/>
    <cellStyle name="Neutral 3 2" xfId="1311"/>
    <cellStyle name="Neutral 3 3" xfId="1312"/>
    <cellStyle name="Neutral 3 4" xfId="1313"/>
    <cellStyle name="Neutral 3 5" xfId="1314"/>
    <cellStyle name="Neutral 3 6" xfId="1315"/>
    <cellStyle name="Neutral 3 7" xfId="1316"/>
    <cellStyle name="Neutral 3 8" xfId="1317"/>
    <cellStyle name="Neutral 3 9" xfId="1318"/>
    <cellStyle name="Neutral 4" xfId="1319"/>
    <cellStyle name="Neutral 4 10" xfId="1320"/>
    <cellStyle name="Neutral 4 11" xfId="1321"/>
    <cellStyle name="Neutral 4 2" xfId="1322"/>
    <cellStyle name="Neutral 4 3" xfId="1323"/>
    <cellStyle name="Neutral 4 4" xfId="1324"/>
    <cellStyle name="Neutral 4 5" xfId="1325"/>
    <cellStyle name="Neutral 4 6" xfId="1326"/>
    <cellStyle name="Neutral 4 7" xfId="1327"/>
    <cellStyle name="Neutral 4 8" xfId="1328"/>
    <cellStyle name="Neutral 4 9" xfId="1329"/>
    <cellStyle name="Normal 2" xfId="1330"/>
    <cellStyle name="Normal 2 2" xfId="1331"/>
    <cellStyle name="Normal 2 3" xfId="1332"/>
    <cellStyle name="Normal 3" xfId="1333"/>
    <cellStyle name="Normal 4" xfId="1334"/>
    <cellStyle name="Normal 5" xfId="1335"/>
    <cellStyle name="Normal 5 2" xfId="1336"/>
    <cellStyle name="Normal 5 3" xfId="1337"/>
    <cellStyle name="Normal 5 4" xfId="1338"/>
    <cellStyle name="Normal 5 5" xfId="1339"/>
    <cellStyle name="Normal 5 6" xfId="1340"/>
    <cellStyle name="Normal 5 7" xfId="1341"/>
    <cellStyle name="Normal 6" xfId="1342"/>
    <cellStyle name="Normal 6 2" xfId="1343"/>
    <cellStyle name="Normal 6 3" xfId="1344"/>
    <cellStyle name="Normal 7" xfId="1345"/>
    <cellStyle name="Normal 7 2" xfId="1346"/>
    <cellStyle name="Normal 8" xfId="1347"/>
    <cellStyle name="Notas" xfId="1348"/>
    <cellStyle name="Notas 2" xfId="1349"/>
    <cellStyle name="Notas 2 10" xfId="1350"/>
    <cellStyle name="Notas 2 11" xfId="1351"/>
    <cellStyle name="Notas 2 2" xfId="1352"/>
    <cellStyle name="Notas 2 3" xfId="1353"/>
    <cellStyle name="Notas 2 4" xfId="1354"/>
    <cellStyle name="Notas 2 5" xfId="1355"/>
    <cellStyle name="Notas 2 6" xfId="1356"/>
    <cellStyle name="Notas 2 7" xfId="1357"/>
    <cellStyle name="Notas 2 8" xfId="1358"/>
    <cellStyle name="Notas 2 9" xfId="1359"/>
    <cellStyle name="Notas 3" xfId="1360"/>
    <cellStyle name="Notas 3 10" xfId="1361"/>
    <cellStyle name="Notas 3 11" xfId="1362"/>
    <cellStyle name="Notas 3 2" xfId="1363"/>
    <cellStyle name="Notas 3 3" xfId="1364"/>
    <cellStyle name="Notas 3 4" xfId="1365"/>
    <cellStyle name="Notas 3 5" xfId="1366"/>
    <cellStyle name="Notas 3 6" xfId="1367"/>
    <cellStyle name="Notas 3 7" xfId="1368"/>
    <cellStyle name="Notas 3 8" xfId="1369"/>
    <cellStyle name="Notas 3 9" xfId="1370"/>
    <cellStyle name="Notas 4" xfId="1371"/>
    <cellStyle name="Notas 4 10" xfId="1372"/>
    <cellStyle name="Notas 4 11" xfId="1373"/>
    <cellStyle name="Notas 4 2" xfId="1374"/>
    <cellStyle name="Notas 4 3" xfId="1375"/>
    <cellStyle name="Notas 4 4" xfId="1376"/>
    <cellStyle name="Notas 4 5" xfId="1377"/>
    <cellStyle name="Notas 4 6" xfId="1378"/>
    <cellStyle name="Notas 4 7" xfId="1379"/>
    <cellStyle name="Notas 4 8" xfId="1380"/>
    <cellStyle name="Notas 4 9" xfId="1381"/>
    <cellStyle name="Note" xfId="1382"/>
    <cellStyle name="Output" xfId="1383"/>
    <cellStyle name="Salida" xfId="1384"/>
    <cellStyle name="Salida 2" xfId="1385"/>
    <cellStyle name="Salida 2 10" xfId="1386"/>
    <cellStyle name="Salida 2 11" xfId="1387"/>
    <cellStyle name="Salida 2 2" xfId="1388"/>
    <cellStyle name="Salida 2 3" xfId="1389"/>
    <cellStyle name="Salida 2 4" xfId="1390"/>
    <cellStyle name="Salida 2 5" xfId="1391"/>
    <cellStyle name="Salida 2 6" xfId="1392"/>
    <cellStyle name="Salida 2 7" xfId="1393"/>
    <cellStyle name="Salida 2 8" xfId="1394"/>
    <cellStyle name="Salida 2 9" xfId="1395"/>
    <cellStyle name="Salida 3" xfId="1396"/>
    <cellStyle name="Salida 3 10" xfId="1397"/>
    <cellStyle name="Salida 3 11" xfId="1398"/>
    <cellStyle name="Salida 3 2" xfId="1399"/>
    <cellStyle name="Salida 3 3" xfId="1400"/>
    <cellStyle name="Salida 3 4" xfId="1401"/>
    <cellStyle name="Salida 3 5" xfId="1402"/>
    <cellStyle name="Salida 3 6" xfId="1403"/>
    <cellStyle name="Salida 3 7" xfId="1404"/>
    <cellStyle name="Salida 3 8" xfId="1405"/>
    <cellStyle name="Salida 3 9" xfId="1406"/>
    <cellStyle name="Salida 4" xfId="1407"/>
    <cellStyle name="Salida 4 10" xfId="1408"/>
    <cellStyle name="Salida 4 11" xfId="1409"/>
    <cellStyle name="Salida 4 2" xfId="1410"/>
    <cellStyle name="Salida 4 3" xfId="1411"/>
    <cellStyle name="Salida 4 4" xfId="1412"/>
    <cellStyle name="Salida 4 5" xfId="1413"/>
    <cellStyle name="Salida 4 6" xfId="1414"/>
    <cellStyle name="Salida 4 7" xfId="1415"/>
    <cellStyle name="Salida 4 8" xfId="1416"/>
    <cellStyle name="Salida 4 9" xfId="1417"/>
    <cellStyle name="Texto de advertencia" xfId="1418"/>
    <cellStyle name="Texto de advertencia 2" xfId="1419"/>
    <cellStyle name="Texto de advertencia 2 10" xfId="1420"/>
    <cellStyle name="Texto de advertencia 2 11" xfId="1421"/>
    <cellStyle name="Texto de advertencia 2 2" xfId="1422"/>
    <cellStyle name="Texto de advertencia 2 3" xfId="1423"/>
    <cellStyle name="Texto de advertencia 2 4" xfId="1424"/>
    <cellStyle name="Texto de advertencia 2 5" xfId="1425"/>
    <cellStyle name="Texto de advertencia 2 6" xfId="1426"/>
    <cellStyle name="Texto de advertencia 2 7" xfId="1427"/>
    <cellStyle name="Texto de advertencia 2 8" xfId="1428"/>
    <cellStyle name="Texto de advertencia 2 9" xfId="1429"/>
    <cellStyle name="Texto de advertencia 3" xfId="1430"/>
    <cellStyle name="Texto de advertencia 3 10" xfId="1431"/>
    <cellStyle name="Texto de advertencia 3 11" xfId="1432"/>
    <cellStyle name="Texto de advertencia 3 2" xfId="1433"/>
    <cellStyle name="Texto de advertencia 3 3" xfId="1434"/>
    <cellStyle name="Texto de advertencia 3 4" xfId="1435"/>
    <cellStyle name="Texto de advertencia 3 5" xfId="1436"/>
    <cellStyle name="Texto de advertencia 3 6" xfId="1437"/>
    <cellStyle name="Texto de advertencia 3 7" xfId="1438"/>
    <cellStyle name="Texto de advertencia 3 8" xfId="1439"/>
    <cellStyle name="Texto de advertencia 3 9" xfId="1440"/>
    <cellStyle name="Texto de advertencia 4" xfId="1441"/>
    <cellStyle name="Texto de advertencia 4 10" xfId="1442"/>
    <cellStyle name="Texto de advertencia 4 11" xfId="1443"/>
    <cellStyle name="Texto de advertencia 4 2" xfId="1444"/>
    <cellStyle name="Texto de advertencia 4 3" xfId="1445"/>
    <cellStyle name="Texto de advertencia 4 4" xfId="1446"/>
    <cellStyle name="Texto de advertencia 4 5" xfId="1447"/>
    <cellStyle name="Texto de advertencia 4 6" xfId="1448"/>
    <cellStyle name="Texto de advertencia 4 7" xfId="1449"/>
    <cellStyle name="Texto de advertencia 4 8" xfId="1450"/>
    <cellStyle name="Texto de advertencia 4 9" xfId="1451"/>
    <cellStyle name="Texto explicativo" xfId="1452"/>
    <cellStyle name="Texto explicativo 2" xfId="1453"/>
    <cellStyle name="Texto explicativo 2 10" xfId="1454"/>
    <cellStyle name="Texto explicativo 2 11" xfId="1455"/>
    <cellStyle name="Texto explicativo 2 2" xfId="1456"/>
    <cellStyle name="Texto explicativo 2 3" xfId="1457"/>
    <cellStyle name="Texto explicativo 2 4" xfId="1458"/>
    <cellStyle name="Texto explicativo 2 5" xfId="1459"/>
    <cellStyle name="Texto explicativo 2 6" xfId="1460"/>
    <cellStyle name="Texto explicativo 2 7" xfId="1461"/>
    <cellStyle name="Texto explicativo 2 8" xfId="1462"/>
    <cellStyle name="Texto explicativo 2 9" xfId="1463"/>
    <cellStyle name="Texto explicativo 3" xfId="1464"/>
    <cellStyle name="Texto explicativo 3 10" xfId="1465"/>
    <cellStyle name="Texto explicativo 3 11" xfId="1466"/>
    <cellStyle name="Texto explicativo 3 2" xfId="1467"/>
    <cellStyle name="Texto explicativo 3 3" xfId="1468"/>
    <cellStyle name="Texto explicativo 3 4" xfId="1469"/>
    <cellStyle name="Texto explicativo 3 5" xfId="1470"/>
    <cellStyle name="Texto explicativo 3 6" xfId="1471"/>
    <cellStyle name="Texto explicativo 3 7" xfId="1472"/>
    <cellStyle name="Texto explicativo 3 8" xfId="1473"/>
    <cellStyle name="Texto explicativo 3 9" xfId="1474"/>
    <cellStyle name="Texto explicativo 4" xfId="1475"/>
    <cellStyle name="Texto explicativo 4 10" xfId="1476"/>
    <cellStyle name="Texto explicativo 4 11" xfId="1477"/>
    <cellStyle name="Texto explicativo 4 2" xfId="1478"/>
    <cellStyle name="Texto explicativo 4 3" xfId="1479"/>
    <cellStyle name="Texto explicativo 4 4" xfId="1480"/>
    <cellStyle name="Texto explicativo 4 5" xfId="1481"/>
    <cellStyle name="Texto explicativo 4 6" xfId="1482"/>
    <cellStyle name="Texto explicativo 4 7" xfId="1483"/>
    <cellStyle name="Texto explicativo 4 8" xfId="1484"/>
    <cellStyle name="Texto explicativo 4 9" xfId="1485"/>
    <cellStyle name="Title" xfId="1486"/>
    <cellStyle name="Título" xfId="1487"/>
    <cellStyle name="Título 1" xfId="1488"/>
    <cellStyle name="Título 2" xfId="1489"/>
    <cellStyle name="Título 2 2" xfId="1490"/>
    <cellStyle name="Título 2 2 10" xfId="1491"/>
    <cellStyle name="Título 2 2 11" xfId="1492"/>
    <cellStyle name="Título 2 2 2" xfId="1493"/>
    <cellStyle name="Título 2 2 3" xfId="1494"/>
    <cellStyle name="Título 2 2 4" xfId="1495"/>
    <cellStyle name="Título 2 2 5" xfId="1496"/>
    <cellStyle name="Título 2 2 6" xfId="1497"/>
    <cellStyle name="Título 2 2 7" xfId="1498"/>
    <cellStyle name="Título 2 2 8" xfId="1499"/>
    <cellStyle name="Título 2 2 9" xfId="1500"/>
    <cellStyle name="Título 2 3" xfId="1501"/>
    <cellStyle name="Título 2 3 10" xfId="1502"/>
    <cellStyle name="Título 2 3 11" xfId="1503"/>
    <cellStyle name="Título 2 3 2" xfId="1504"/>
    <cellStyle name="Título 2 3 3" xfId="1505"/>
    <cellStyle name="Título 2 3 4" xfId="1506"/>
    <cellStyle name="Título 2 3 5" xfId="1507"/>
    <cellStyle name="Título 2 3 6" xfId="1508"/>
    <cellStyle name="Título 2 3 7" xfId="1509"/>
    <cellStyle name="Título 2 3 8" xfId="1510"/>
    <cellStyle name="Título 2 3 9" xfId="1511"/>
    <cellStyle name="Título 2 4" xfId="1512"/>
    <cellStyle name="Título 2 4 10" xfId="1513"/>
    <cellStyle name="Título 2 4 11" xfId="1514"/>
    <cellStyle name="Título 2 4 2" xfId="1515"/>
    <cellStyle name="Título 2 4 3" xfId="1516"/>
    <cellStyle name="Título 2 4 4" xfId="1517"/>
    <cellStyle name="Título 2 4 5" xfId="1518"/>
    <cellStyle name="Título 2 4 6" xfId="1519"/>
    <cellStyle name="Título 2 4 7" xfId="1520"/>
    <cellStyle name="Título 2 4 8" xfId="1521"/>
    <cellStyle name="Título 2 4 9" xfId="1522"/>
    <cellStyle name="Título 3" xfId="1523"/>
    <cellStyle name="Título 3 2" xfId="1524"/>
    <cellStyle name="Título 3 2 10" xfId="1525"/>
    <cellStyle name="Título 3 2 11" xfId="1526"/>
    <cellStyle name="Título 3 2 2" xfId="1527"/>
    <cellStyle name="Título 3 2 3" xfId="1528"/>
    <cellStyle name="Título 3 2 4" xfId="1529"/>
    <cellStyle name="Título 3 2 5" xfId="1530"/>
    <cellStyle name="Título 3 2 6" xfId="1531"/>
    <cellStyle name="Título 3 2 7" xfId="1532"/>
    <cellStyle name="Título 3 2 8" xfId="1533"/>
    <cellStyle name="Título 3 2 9" xfId="1534"/>
    <cellStyle name="Título 3 3" xfId="1535"/>
    <cellStyle name="Título 3 3 10" xfId="1536"/>
    <cellStyle name="Título 3 3 11" xfId="1537"/>
    <cellStyle name="Título 3 3 2" xfId="1538"/>
    <cellStyle name="Título 3 3 3" xfId="1539"/>
    <cellStyle name="Título 3 3 4" xfId="1540"/>
    <cellStyle name="Título 3 3 5" xfId="1541"/>
    <cellStyle name="Título 3 3 6" xfId="1542"/>
    <cellStyle name="Título 3 3 7" xfId="1543"/>
    <cellStyle name="Título 3 3 8" xfId="1544"/>
    <cellStyle name="Título 3 3 9" xfId="1545"/>
    <cellStyle name="Título 3 4" xfId="1546"/>
    <cellStyle name="Título 3 4 10" xfId="1547"/>
    <cellStyle name="Título 3 4 11" xfId="1548"/>
    <cellStyle name="Título 3 4 2" xfId="1549"/>
    <cellStyle name="Título 3 4 3" xfId="1550"/>
    <cellStyle name="Título 3 4 4" xfId="1551"/>
    <cellStyle name="Título 3 4 5" xfId="1552"/>
    <cellStyle name="Título 3 4 6" xfId="1553"/>
    <cellStyle name="Título 3 4 7" xfId="1554"/>
    <cellStyle name="Título 3 4 8" xfId="1555"/>
    <cellStyle name="Título 3 4 9" xfId="1556"/>
    <cellStyle name="Título 4" xfId="1557"/>
    <cellStyle name="Título 4 10" xfId="1558"/>
    <cellStyle name="Título 4 11" xfId="1559"/>
    <cellStyle name="Título 4 2" xfId="1560"/>
    <cellStyle name="Título 4 3" xfId="1561"/>
    <cellStyle name="Título 4 4" xfId="1562"/>
    <cellStyle name="Título 4 5" xfId="1563"/>
    <cellStyle name="Título 4 6" xfId="1564"/>
    <cellStyle name="Título 4 7" xfId="1565"/>
    <cellStyle name="Título 4 8" xfId="1566"/>
    <cellStyle name="Título 4 9" xfId="1567"/>
    <cellStyle name="Título 5" xfId="1568"/>
    <cellStyle name="Título 5 10" xfId="1569"/>
    <cellStyle name="Título 5 11" xfId="1570"/>
    <cellStyle name="Título 5 2" xfId="1571"/>
    <cellStyle name="Título 5 3" xfId="1572"/>
    <cellStyle name="Título 5 4" xfId="1573"/>
    <cellStyle name="Título 5 5" xfId="1574"/>
    <cellStyle name="Título 5 6" xfId="1575"/>
    <cellStyle name="Título 5 7" xfId="1576"/>
    <cellStyle name="Título 5 8" xfId="1577"/>
    <cellStyle name="Título 5 9" xfId="1578"/>
    <cellStyle name="Título 6" xfId="1579"/>
    <cellStyle name="Título 6 10" xfId="1580"/>
    <cellStyle name="Título 6 11" xfId="1581"/>
    <cellStyle name="Título 6 2" xfId="1582"/>
    <cellStyle name="Título 6 3" xfId="1583"/>
    <cellStyle name="Título 6 4" xfId="1584"/>
    <cellStyle name="Título 6 5" xfId="1585"/>
    <cellStyle name="Título 6 6" xfId="1586"/>
    <cellStyle name="Título 6 7" xfId="1587"/>
    <cellStyle name="Título 6 8" xfId="1588"/>
    <cellStyle name="Título 6 9" xfId="1589"/>
    <cellStyle name="Total" xfId="1590"/>
    <cellStyle name="Total 2" xfId="1591"/>
    <cellStyle name="Total 2 10" xfId="1592"/>
    <cellStyle name="Total 2 11" xfId="1593"/>
    <cellStyle name="Total 2 2" xfId="1594"/>
    <cellStyle name="Total 2 3" xfId="1595"/>
    <cellStyle name="Total 2 4" xfId="1596"/>
    <cellStyle name="Total 2 5" xfId="1597"/>
    <cellStyle name="Total 2 6" xfId="1598"/>
    <cellStyle name="Total 2 7" xfId="1599"/>
    <cellStyle name="Total 2 8" xfId="1600"/>
    <cellStyle name="Total 2 9" xfId="1601"/>
    <cellStyle name="Total 3" xfId="1602"/>
    <cellStyle name="Total 3 10" xfId="1603"/>
    <cellStyle name="Total 3 11" xfId="1604"/>
    <cellStyle name="Total 3 2" xfId="1605"/>
    <cellStyle name="Total 3 3" xfId="1606"/>
    <cellStyle name="Total 3 4" xfId="1607"/>
    <cellStyle name="Total 3 5" xfId="1608"/>
    <cellStyle name="Total 3 6" xfId="1609"/>
    <cellStyle name="Total 3 7" xfId="1610"/>
    <cellStyle name="Total 3 8" xfId="1611"/>
    <cellStyle name="Total 3 9" xfId="1612"/>
    <cellStyle name="Total 4" xfId="1613"/>
    <cellStyle name="Total 4 10" xfId="1614"/>
    <cellStyle name="Total 4 11" xfId="1615"/>
    <cellStyle name="Total 4 2" xfId="1616"/>
    <cellStyle name="Total 4 3" xfId="1617"/>
    <cellStyle name="Total 4 4" xfId="1618"/>
    <cellStyle name="Total 4 5" xfId="1619"/>
    <cellStyle name="Total 4 6" xfId="1620"/>
    <cellStyle name="Total 4 7" xfId="1621"/>
    <cellStyle name="Total 4 8" xfId="1622"/>
    <cellStyle name="Total 4 9" xfId="1623"/>
    <cellStyle name="Warning Text" xfId="162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12" Type="http://schemas.openxmlformats.org/officeDocument/2006/relationships/worksheet" Target="worksheets/sheet11.xml" /><Relationship Id="rId13" Type="http://schemas.openxmlformats.org/officeDocument/2006/relationships/worksheet" Target="worksheets/sheet12.xml" /><Relationship Id="rId9" Type="http://schemas.openxmlformats.org/officeDocument/2006/relationships/worksheet" Target="worksheets/sheet8.xml" /><Relationship Id="rId8" Type="http://schemas.openxmlformats.org/officeDocument/2006/relationships/worksheet" Target="worksheets/sheet7.xml" /><Relationship Id="rId6" Type="http://schemas.openxmlformats.org/officeDocument/2006/relationships/worksheet" Target="worksheets/sheet5.xml" /><Relationship Id="rId5" Type="http://schemas.openxmlformats.org/officeDocument/2006/relationships/worksheet" Target="worksheets/sheet4.xml" /><Relationship Id="rId31" Type="http://schemas.openxmlformats.org/officeDocument/2006/relationships/externalLink" Target="externalLinks/externalLink3.xml" /><Relationship Id="rId4" Type="http://schemas.openxmlformats.org/officeDocument/2006/relationships/worksheet" Target="worksheets/sheet3.xml" /><Relationship Id="rId33" Type="http://schemas.openxmlformats.org/officeDocument/2006/relationships/calcChain" Target="calcChain.xml" /><Relationship Id="rId27" Type="http://schemas.openxmlformats.org/officeDocument/2006/relationships/styles" Target="styles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7" Type="http://schemas.openxmlformats.org/officeDocument/2006/relationships/worksheet" Target="worksheets/sheet6.xml" /><Relationship Id="rId3" Type="http://schemas.openxmlformats.org/officeDocument/2006/relationships/worksheet" Target="worksheets/sheet2.xml" /><Relationship Id="rId30" Type="http://schemas.openxmlformats.org/officeDocument/2006/relationships/externalLink" Target="externalLinks/externalLink2.xml" /><Relationship Id="rId21" Type="http://schemas.openxmlformats.org/officeDocument/2006/relationships/worksheet" Target="worksheets/sheet19.xml" /><Relationship Id="rId32" Type="http://schemas.openxmlformats.org/officeDocument/2006/relationships/externalLink" Target="externalLinks/externalLink4.xml" /><Relationship Id="rId16" Type="http://schemas.openxmlformats.org/officeDocument/2006/relationships/worksheet" Target="worksheets/sheet15.xml" /><Relationship Id="rId22" Type="http://schemas.openxmlformats.org/officeDocument/2006/relationships/worksheet" Target="worksheets/sheet20.xml" /><Relationship Id="rId24" Type="http://schemas.openxmlformats.org/officeDocument/2006/relationships/worksheet" Target="worksheets/sheet22.xml" /><Relationship Id="rId14" Type="http://schemas.openxmlformats.org/officeDocument/2006/relationships/worksheet" Target="worksheets/sheet13.xml" /><Relationship Id="rId28" Type="http://schemas.openxmlformats.org/officeDocument/2006/relationships/sharedStrings" Target="sharedStrings.xml" /><Relationship Id="rId29" Type="http://schemas.openxmlformats.org/officeDocument/2006/relationships/externalLink" Target="externalLinks/externalLink1.xml" /><Relationship Id="rId18" Type="http://schemas.openxmlformats.org/officeDocument/2006/relationships/worksheet" Target="worksheets/sheet16.xml" /><Relationship Id="rId19" Type="http://schemas.openxmlformats.org/officeDocument/2006/relationships/worksheet" Target="worksheets/sheet17.xml" /><Relationship Id="rId23" Type="http://schemas.openxmlformats.org/officeDocument/2006/relationships/worksheet" Target="worksheets/sheet21.xml" /><Relationship Id="rId25" Type="http://schemas.openxmlformats.org/officeDocument/2006/relationships/worksheet" Target="worksheets/sheet23.xml" /><Relationship Id="rId26" Type="http://schemas.openxmlformats.org/officeDocument/2006/relationships/worksheet" Target="worksheets/sheet24.xml" /><Relationship Id="rId15" Type="http://schemas.openxmlformats.org/officeDocument/2006/relationships/worksheet" Target="worksheets/sheet14.xml" /><Relationship Id="rId20" Type="http://schemas.openxmlformats.org/officeDocument/2006/relationships/worksheet" Target="worksheets/sheet18.xml" /><Relationship Id="rId17" Type="http://schemas.openxmlformats.org/officeDocument/2006/relationships/chartsheet" Target="chart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autoTitleDeleted val="1"/>
    <c:plotArea>
      <c:layout>
        <c:manualLayout>
          <c:xMode val="edge"/>
          <c:yMode val="edge"/>
          <c:x val="0.04025"/>
          <c:y val="0.022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>
                <a:alpha val="100000"/>
              </a:srgbClr>
            </a:solidFill>
            <a:ln w="3175">
              <a:noFill/>
            </a:ln>
          </c:spPr>
          <c:invertIfNegative val="0"/>
          <c:val>
            <c:numRef>
              <c:f>'ING. CAJA GRAL. MIP DEL DIA'!#REF!</c:f>
              <c:numCache/>
            </c:numRef>
          </c:val>
        </c:ser>
        <c:axId val="53653676"/>
        <c:axId val="49643957"/>
      </c:barChart>
      <c:catAx>
        <c:axId val="536536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vert="horz"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49643957"/>
        <c:crosses val="autoZero"/>
        <c:auto val="1"/>
        <c:lblOffset val="100"/>
        <c:tickLblSkip val="1"/>
        <c:noMultiLvlLbl val="0"/>
      </c:catAx>
      <c:valAx>
        <c:axId val="49643957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80808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vert="horz"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53653676"/>
        <c:crossesAt val="1"/>
        <c:crossBetween val="between"/>
      </c:valAx>
      <c:spPr>
        <a:solidFill>
          <a:srgbClr val="FFFFFF"/>
        </a:solidFill>
        <a:ln w="3175">
          <a:noFill/>
        </a:ln>
      </c:spPr>
    </c:plotArea>
    <c:legend>
      <c:legendPos val="r"/>
      <c:layout>
        <c:manualLayout>
          <c:xMode val="edge"/>
          <c:yMode val="edge"/>
          <c:x val="0.97025"/>
          <c:y val="0.48825"/>
          <c:w val="0.0205"/>
          <c:h val="0.01725"/>
        </c:manualLayout>
      </c:layout>
      <c:overlay val="0"/>
      <c:spPr>
        <a:noFill/>
        <a:ln w="3175">
          <a:noFill/>
        </a:ln>
      </c:spPr>
      <c:txPr>
        <a:bodyPr vert="horz" rot="0"/>
        <a:lstStyle/>
        <a:p>
          <a:pPr>
            <a:defRPr lang="en-US" sz="2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3175" cap="flat" cmpd="sng">
      <a:solidFill>
        <a:srgbClr val="808080"/>
      </a:solidFill>
    </a:ln>
  </c:spPr>
  <c:txPr>
    <a:bodyPr vert="horz" rot="0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/Relationships>
</file>

<file path=xl/chartsheets/sheet1.xml><?xml version="1.0" encoding="utf-8"?>
<chartsheet xmlns="http://schemas.openxmlformats.org/spreadsheetml/2006/main" xmlns:r="http://schemas.openxmlformats.org/officeDocument/2006/relationships">
  <sheetViews>
    <sheetView workbookViewId="0" zoomScale="129"/>
  </sheetViews>
  <pageMargins left="0.7" right="0.7" top="0.75" bottom="0.75" header="0.3" footer="0.3"/>
  <drawing r:id="rId1"/>
</chartsheet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3.jpeg" /><Relationship Id="rId3" Type="http://schemas.openxmlformats.org/officeDocument/2006/relationships/image" Target="../media/image4.jpeg" /><Relationship Id="rId1" Type="http://schemas.openxmlformats.org/officeDocument/2006/relationships/image" Target="../media/image2.jpe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jpe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jpe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5.jpe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1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57038</xdr:colOff>
      <xdr:row>0</xdr:row>
      <xdr:rowOff>0</xdr:rowOff>
    </xdr:from>
    <xdr:to>
      <xdr:col>1</xdr:col>
      <xdr:colOff>19348</xdr:colOff>
      <xdr:row>0</xdr:row>
      <xdr:rowOff>0</xdr:rowOff>
    </xdr:to>
    <xdr:pic>
      <xdr:nvPicPr>
        <xdr:cNvPr id="321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1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1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1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1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1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1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2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3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4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5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6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7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8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29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0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1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66415</xdr:colOff>
      <xdr:row>0</xdr:row>
      <xdr:rowOff>0</xdr:rowOff>
    </xdr:from>
    <xdr:to>
      <xdr:col>1</xdr:col>
      <xdr:colOff>28277</xdr:colOff>
      <xdr:row>0</xdr:row>
      <xdr:rowOff>0</xdr:rowOff>
    </xdr:to>
    <xdr:pic>
      <xdr:nvPicPr>
        <xdr:cNvPr id="332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2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3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4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5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6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7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8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39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0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1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1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2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3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4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761814</xdr:colOff>
      <xdr:row>0</xdr:row>
      <xdr:rowOff>0</xdr:rowOff>
    </xdr:to>
    <xdr:pic>
      <xdr:nvPicPr>
        <xdr:cNvPr id="342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9190</xdr:rowOff>
    </xdr:from>
    <xdr:to>
      <xdr:col>0</xdr:col>
      <xdr:colOff>0</xdr:colOff>
      <xdr:row>2</xdr:row>
      <xdr:rowOff>111137</xdr:rowOff>
    </xdr:to>
    <xdr:pic>
      <xdr:nvPicPr>
        <xdr:cNvPr id="34270" name="Picture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9525"/>
          <a:ext cx="0" cy="466725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9190</xdr:rowOff>
    </xdr:from>
    <xdr:to>
      <xdr:col>1</xdr:col>
      <xdr:colOff>885527</xdr:colOff>
      <xdr:row>3</xdr:row>
      <xdr:rowOff>0</xdr:rowOff>
    </xdr:to>
    <xdr:pic>
      <xdr:nvPicPr>
        <xdr:cNvPr id="34271" name="Picture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9525"/>
          <a:ext cx="1685925" cy="628650"/>
        </a:xfrm>
        <a:prstGeom prst="rect"/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8763000" cy="6124575"/>
    <xdr:graphicFrame>
      <xdr:nvGraphicFramePr>
        <xdr:cNvPr id="1" name="Chart1"/>
        <xdr:cNvGraphicFramePr/>
      </xdr:nvGraphicFramePr>
      <xdr:xfrm>
        <a:off x="0" y="0"/>
        <a:ext cx="8763000" cy="61245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3192447</xdr:colOff>
      <xdr:row>0</xdr:row>
      <xdr:rowOff>28575</xdr:rowOff>
    </xdr:from>
    <xdr:to>
      <xdr:col>0</xdr:col>
      <xdr:colOff>3964298</xdr:colOff>
      <xdr:row>1</xdr:row>
      <xdr:rowOff>76423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90875" y="28575"/>
          <a:ext cx="771525" cy="657225"/>
        </a:xfrm>
        <a:prstGeom prst="rect"/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3</xdr:col>
      <xdr:colOff>151898</xdr:colOff>
      <xdr:row>0</xdr:row>
      <xdr:rowOff>10567</xdr:rowOff>
    </xdr:from>
    <xdr:to>
      <xdr:col>3</xdr:col>
      <xdr:colOff>981391</xdr:colOff>
      <xdr:row>1</xdr:row>
      <xdr:rowOff>0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2875" y="9525"/>
          <a:ext cx="828675" cy="666750"/>
        </a:xfrm>
        <a:prstGeom prst="rect"/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3</xdr:col>
      <xdr:colOff>1067433</xdr:colOff>
      <xdr:row>0</xdr:row>
      <xdr:rowOff>104477</xdr:rowOff>
    </xdr:from>
    <xdr:to>
      <xdr:col>6</xdr:col>
      <xdr:colOff>1505545</xdr:colOff>
      <xdr:row>1</xdr:row>
      <xdr:rowOff>28277</xdr:rowOff>
    </xdr:to>
    <xdr:pic>
      <xdr:nvPicPr>
        <xdr:cNvPr id="1156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76950" y="104775"/>
          <a:ext cx="1828800" cy="609600"/>
        </a:xfrm>
        <a:prstGeom prst="rect"/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3</xdr:col>
      <xdr:colOff>428392</xdr:colOff>
      <xdr:row>0</xdr:row>
      <xdr:rowOff>0</xdr:rowOff>
    </xdr:from>
    <xdr:to>
      <xdr:col>4</xdr:col>
      <xdr:colOff>380647</xdr:colOff>
      <xdr:row>0</xdr:row>
      <xdr:rowOff>610791</xdr:rowOff>
    </xdr:to>
    <xdr:pic>
      <xdr:nvPicPr>
        <xdr:cNvPr id="1156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00" y="0"/>
          <a:ext cx="1390650" cy="609600"/>
        </a:xfrm>
        <a:prstGeom prst="rect"/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5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5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8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9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9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9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9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95510</xdr:rowOff>
    </xdr:from>
    <xdr:to>
      <xdr:col>1</xdr:col>
      <xdr:colOff>0</xdr:colOff>
      <xdr:row>10</xdr:row>
      <xdr:rowOff>95510</xdr:rowOff>
    </xdr:to>
    <xdr:pic>
      <xdr:nvPicPr>
        <xdr:cNvPr id="519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00990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9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9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9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9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19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0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</xdr:row>
      <xdr:rowOff>94990</xdr:rowOff>
    </xdr:from>
    <xdr:to>
      <xdr:col>2</xdr:col>
      <xdr:colOff>761870</xdr:colOff>
      <xdr:row>11</xdr:row>
      <xdr:rowOff>94990</xdr:rowOff>
    </xdr:to>
    <xdr:pic>
      <xdr:nvPicPr>
        <xdr:cNvPr id="521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171825"/>
          <a:ext cx="2286000" cy="0"/>
        </a:xfrm>
        <a:prstGeom prst="rect"/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6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3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4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5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6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7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8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79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80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81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</xdr:row>
      <xdr:rowOff>94952</xdr:rowOff>
    </xdr:from>
    <xdr:to>
      <xdr:col>0</xdr:col>
      <xdr:colOff>759916</xdr:colOff>
      <xdr:row>10</xdr:row>
      <xdr:rowOff>94952</xdr:rowOff>
    </xdr:to>
    <xdr:pic>
      <xdr:nvPicPr>
        <xdr:cNvPr id="2682" name="Picture 2" descr="header_completo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324350"/>
          <a:ext cx="762000" cy="0"/>
        </a:xfrm>
        <a:prstGeom prst="rect"/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4</xdr:col>
      <xdr:colOff>1781473</xdr:colOff>
      <xdr:row>0</xdr:row>
      <xdr:rowOff>19087</xdr:rowOff>
    </xdr:from>
    <xdr:to>
      <xdr:col>5</xdr:col>
      <xdr:colOff>933152</xdr:colOff>
      <xdr:row>0</xdr:row>
      <xdr:rowOff>28129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10925" y="19050"/>
          <a:ext cx="962025" cy="9525"/>
        </a:xfrm>
        <a:prstGeom prst="rect"/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10</xdr:col>
      <xdr:colOff>1610358</xdr:colOff>
      <xdr:row>0</xdr:row>
      <xdr:rowOff>75009</xdr:rowOff>
    </xdr:from>
    <xdr:to>
      <xdr:col>12</xdr:col>
      <xdr:colOff>10185</xdr:colOff>
      <xdr:row>0</xdr:row>
      <xdr:rowOff>675084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30525" y="76200"/>
          <a:ext cx="838200" cy="600075"/>
        </a:xfrm>
        <a:prstGeom prst="rect"/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9</xdr:col>
      <xdr:colOff>657225</xdr:colOff>
      <xdr:row>0</xdr:row>
      <xdr:rowOff>0</xdr:rowOff>
    </xdr:from>
    <xdr:to>
      <xdr:col>9</xdr:col>
      <xdr:colOff>1485900</xdr:colOff>
      <xdr:row>0</xdr:row>
      <xdr:rowOff>618827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39925" y="0"/>
          <a:ext cx="828675" cy="619125"/>
        </a:xfrm>
        <a:prstGeom prst="rect"/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4</xdr:col>
      <xdr:colOff>1037332</xdr:colOff>
      <xdr:row>0</xdr:row>
      <xdr:rowOff>0</xdr:rowOff>
    </xdr:from>
    <xdr:to>
      <xdr:col>4</xdr:col>
      <xdr:colOff>1733336</xdr:colOff>
      <xdr:row>1</xdr:row>
      <xdr:rowOff>57262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91575" y="0"/>
          <a:ext cx="695325" cy="628650"/>
        </a:xfrm>
        <a:prstGeom prst="rect"/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10</xdr:col>
      <xdr:colOff>1610358</xdr:colOff>
      <xdr:row>0</xdr:row>
      <xdr:rowOff>75009</xdr:rowOff>
    </xdr:from>
    <xdr:to>
      <xdr:col>10</xdr:col>
      <xdr:colOff>2381548</xdr:colOff>
      <xdr:row>1</xdr:row>
      <xdr:rowOff>0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73375" y="76200"/>
          <a:ext cx="771525" cy="609600"/>
        </a:xfrm>
        <a:prstGeom prst="rect"/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8</xdr:col>
      <xdr:colOff>1629566</xdr:colOff>
      <xdr:row>0</xdr:row>
      <xdr:rowOff>0</xdr:rowOff>
    </xdr:from>
    <xdr:to>
      <xdr:col>9</xdr:col>
      <xdr:colOff>228600</xdr:colOff>
      <xdr:row>1</xdr:row>
      <xdr:rowOff>0</xdr:rowOff>
    </xdr:to>
    <xdr:pic>
      <xdr:nvPicPr>
        <xdr:cNvPr id="1102" name="Picture 1" descr="escu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44575" y="0"/>
          <a:ext cx="533400" cy="685800"/>
        </a:xfrm>
        <a:prstGeom prst="rect"/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172.17.1.30\Compartidos%20Tesoreria\Documents%20and%20Settings\kdiaz\Escritorio\SECCION%20IMPUESTO%202013\TRANSFERENCIA%202013\ENERO%202013\SEPTIEMBRE%202012\05092012.xls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IPWSFS01\Compartidos%20Tesoreria\1-TESORERIA%202018\KENIA%20TESORERIA\INGRESOS%20EXTRAPRESUPUESTARIOS\SECCION%20INGRESOS%202022\septiembre,%202022\04072022.xls" TargetMode="External" /></Relationships>
</file>

<file path=xl/externalLinks/_rels/externalLink3.xml.rels><?xml version="1.0" encoding="UTF-8" standalone="yes"?><Relationships xmlns="http://schemas.openxmlformats.org/package/2006/relationships"><Relationship Id="rId1" Type="http://schemas.openxmlformats.org/officeDocument/2006/relationships/externalLinkPath" Target="\Users\memontero\Downloads\RESUMEN%20DICIEMBRE%202024.xls" TargetMode="External" /></Relationships>
</file>

<file path=xl/externalLinks/_rels/externalLink4.xml.rels><?xml version="1.0" encoding="UTF-8" standalone="yes"?><Relationships xmlns="http://schemas.openxmlformats.org/package/2006/relationships"><Relationship Id="rId1" Type="http://schemas.openxmlformats.org/officeDocument/2006/relationships/externalLinkPath" Target="\Users\memontero\Downloads\RESUMEN%20MARZO%202025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ALCULOS"/>
      <sheetName val="ACUMULADO"/>
      <sheetName val="NUEVA FORMULA DIA"/>
      <sheetName val="NUEVA FORMULA ACUMULADO"/>
      <sheetName val="Calc. Gral. F.Viejo"/>
      <sheetName val="Calc. Gral F. Nuevo"/>
      <sheetName val="RESUMEN POR CTA."/>
      <sheetName val="RESUM. X CTAS "/>
      <sheetName val="CJA. DEL DIA"/>
      <sheetName val="TRANSF.PENDT"/>
      <sheetName val="REPORT.ESPECIAL"/>
      <sheetName val="LIBRO TRAMITES"/>
    </sheetNames>
    <sheetDataSet>
      <sheetData sheetId="0">
        <row r="10">
          <cell r="V1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OVIMIENTOS DEL DIA"/>
      <sheetName val="CONC. MOV"/>
      <sheetName val="CONCILIACION "/>
      <sheetName val="REGISTROS CARGOS DEL DIA"/>
      <sheetName val="REGISTRO TRAMITES DEL DIA "/>
      <sheetName val="REGISTRO ALIMENTARIO"/>
      <sheetName val="FIDEICOMISO"/>
      <sheetName val="INGRESO DEL DIA"/>
      <sheetName val="INGRESOS ACUMULADOS "/>
      <sheetName val=",,"/>
      <sheetName val="R POR CTA."/>
      <sheetName val="R X CTAS "/>
      <sheetName val="PAGOS EN LINEAS"/>
      <sheetName val="prueba formulas 1 "/>
      <sheetName val="viejo "/>
      <sheetName val="ING. CAJA GRAL. MIP DEL DIA"/>
      <sheetName val="PENDT"/>
      <sheetName val="LIBRO TRAMITES"/>
      <sheetName val="SIRITE"/>
      <sheetName val="SOLO P. RESUMEN"/>
      <sheetName val="COORD. FIN"/>
      <sheetName val="TRANSF. DGII"/>
      <sheetName val="TRANSF. SIQUIATRIA"/>
      <sheetName val="TRANSF. COLECTOR"/>
      <sheetName val="Hoja1"/>
    </sheetNames>
    <sheetDataSet>
      <sheetData sheetId="3">
        <row r="9">
          <cell r="C9">
            <v>0</v>
          </cell>
          <cell r="G9">
            <v>0</v>
          </cell>
        </row>
      </sheetData>
      <sheetData sheetId="5">
        <row r="64">
          <cell r="I64">
            <v>13635.38</v>
          </cell>
        </row>
        <row r="161">
          <cell r="C161">
            <v>0</v>
          </cell>
        </row>
        <row r="229">
          <cell r="C229">
            <v>0</v>
          </cell>
          <cell r="J229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OVIMIENTOS DEL DIA"/>
      <sheetName val="CONC. MOV"/>
      <sheetName val="CONCILIACION "/>
      <sheetName val="REGISTROS CARGOS DEL DIA"/>
      <sheetName val="REGISTRO TRAMITES DEL DIA "/>
      <sheetName val="REGISTRO ALIMENTARIO"/>
      <sheetName val="FIDEICOMISO"/>
      <sheetName val="INGRESO DEL DIA"/>
      <sheetName val="INGRESOS ACUMULADOS "/>
      <sheetName val=",,"/>
      <sheetName val="R POR CTA."/>
      <sheetName val="R X CTAS "/>
      <sheetName val="PAGOS EN LINEAS"/>
      <sheetName val="prueba formulas 1 "/>
      <sheetName val="viejo "/>
      <sheetName val="Gráfico1"/>
      <sheetName val="ING. CAJA GRAL. MIP DEL DIA"/>
      <sheetName val="PENDT"/>
      <sheetName val="LIBRO TRAMITES"/>
      <sheetName val="SIRITE"/>
      <sheetName val="SOLO P. RESUMEN"/>
      <sheetName val="COORD. FIN"/>
      <sheetName val="ING SIRITE"/>
      <sheetName val=" DGII"/>
      <sheetName val="Hoja1"/>
    </sheetNames>
    <sheetDataSet>
      <sheetData sheetId="7">
        <row r="13">
          <cell r="B13">
            <v>0</v>
          </cell>
        </row>
        <row r="37">
          <cell r="C37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VIMIENTOS DEL DIA"/>
      <sheetName val="CONC. MOV"/>
      <sheetName val="CONCILIACION "/>
      <sheetName val="REGISTROS CARGOS DEL DIA"/>
      <sheetName val="REGISTRO TRAMITES DEL DIA "/>
      <sheetName val="REGISTRO ALIMENTARIO"/>
      <sheetName val="FIDEICOMISO"/>
      <sheetName val="INGRESO DEL DIA"/>
      <sheetName val="INGRESOS ACUMULADOS "/>
      <sheetName val=",,"/>
      <sheetName val="R POR CTA."/>
      <sheetName val="R X CTAS "/>
      <sheetName val="PAGOS EN LINEAS"/>
      <sheetName val="prueba formulas 1 "/>
      <sheetName val="viejo "/>
      <sheetName val="Gráfico1"/>
      <sheetName val="PENDT"/>
      <sheetName val="LIBRO TRAMITES"/>
      <sheetName val="ING. CAJA GRAL. MIP DEL DIA"/>
      <sheetName val="SIRITE"/>
      <sheetName val="SOLO P. RESUMEN"/>
      <sheetName val="COORD. FIN"/>
      <sheetName val="ING SIRITE"/>
      <sheetName val=" DGII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A5" t="str">
            <v>Reportes de los Ingresos según Ley No. 36 y Resolución No. 02-05; 02-06 de los Cobros BanReservas , Caja General y SIRITE al 31/03/2025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1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0.bin" /><Relationship Id="rId1" Type="http://schemas.openxmlformats.org/officeDocument/2006/relationships/drawing" Target="../drawings/drawing7.xml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5.bin" /><Relationship Id="rId1" Type="http://schemas.openxmlformats.org/officeDocument/2006/relationships/drawing" Target="../drawings/drawing11.xml" /></Relationships>
</file>

<file path=xl/worksheets/_rels/sheet1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6.bin" /><Relationship Id="rId1" Type="http://schemas.openxmlformats.org/officeDocument/2006/relationships/drawing" Target="../drawings/drawing12.xm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2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9.bin" /><Relationship Id="rId1" Type="http://schemas.openxmlformats.org/officeDocument/2006/relationships/drawing" Target="../drawings/drawing13.xml" /></Relationships>
</file>

<file path=xl/worksheets/_rels/sheet2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0.bin" /><Relationship Id="rId1" Type="http://schemas.openxmlformats.org/officeDocument/2006/relationships/drawing" Target="../drawings/drawing14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3.bin" /><Relationship Id="rId1" Type="http://schemas.openxmlformats.org/officeDocument/2006/relationships/drawing" Target="../drawings/drawing3.xml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6.bin" /><Relationship Id="rId1" Type="http://schemas.openxmlformats.org/officeDocument/2006/relationships/drawing" Target="../drawings/drawing4.xml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8.bin" /><Relationship Id="rId1" Type="http://schemas.openxmlformats.org/officeDocument/2006/relationships/drawing" Target="../drawings/drawing5.xml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9.bin" /><Relationship Id="rId1" Type="http://schemas.openxmlformats.org/officeDocument/2006/relationships/drawing" Target="../drawings/drawing6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H38"/>
  <sheetViews>
    <sheetView zoomScale="90" zoomScaleNormal="90" zoomScalePageLayoutView="25" workbookViewId="0" topLeftCell="A1">
      <selection pane="topLeft" activeCell="C39" sqref="C39"/>
    </sheetView>
  </sheetViews>
  <sheetFormatPr defaultRowHeight="14.25"/>
  <cols>
    <col min="1" max="1" width="12" style="1163" customWidth="1"/>
    <col min="2" max="2" width="22.8571428571429" style="1163" customWidth="1"/>
    <col min="3" max="3" width="44.2857142857143" style="1163" customWidth="1"/>
    <col min="4" max="6" width="18.5714285714286" style="1144" customWidth="1"/>
    <col min="7" max="7" width="14.4285714285714" style="1144" customWidth="1"/>
    <col min="8" max="8" width="53.2857142857143" style="1144" customWidth="1"/>
    <col min="9" max="16384" width="11.4285714285714" style="1146"/>
  </cols>
  <sheetData>
    <row r="1" spans="1:8" s="1142" customFormat="1" ht="14.25">
      <c r="A1" s="1140"/>
      <c s="1140"/>
      <c s="1140"/>
      <c s="1141"/>
      <c s="1141"/>
      <c s="1141"/>
      <c s="1141"/>
      <c s="1141"/>
    </row>
    <row r="2" spans="1:8" s="1142" customFormat="1" ht="14.25">
      <c r="A2" s="1140"/>
      <c s="1140"/>
      <c s="1140"/>
      <c s="1141"/>
      <c s="1141"/>
      <c s="1141"/>
      <c s="1141"/>
      <c s="1141"/>
    </row>
    <row r="3" spans="1:8" s="1142" customFormat="1" ht="22.35" customHeight="1">
      <c r="A3" s="1140"/>
      <c s="1140"/>
      <c s="1140"/>
      <c s="1141"/>
      <c s="1141"/>
      <c s="1141"/>
      <c s="1141"/>
      <c s="1141"/>
    </row>
    <row r="4" spans="1:8" ht="35.25" customHeight="1">
      <c r="A4" s="1143" t="s">
        <v>204</v>
      </c>
      <c s="1140"/>
      <c s="1140"/>
      <c s="1141"/>
      <c r="G4" s="1145" t="s">
        <v>205</v>
      </c>
      <c s="1141" t="s">
        <v>458</v>
      </c>
    </row>
    <row r="5" spans="1:8" ht="15.75" thickBot="1">
      <c r="A5" s="1147"/>
      <c s="1147"/>
      <c s="1147"/>
      <c s="1148"/>
      <c r="G5" s="1145" t="s">
        <v>225</v>
      </c>
      <c s="1149">
        <v>45597</v>
      </c>
    </row>
    <row r="6" spans="1:8" ht="15" thickBot="1">
      <c r="A6" s="1318" t="s">
        <v>226</v>
      </c>
      <c s="1319"/>
      <c s="1319"/>
      <c s="1319"/>
      <c s="1319"/>
      <c s="1319"/>
      <c s="1319"/>
      <c s="1320"/>
    </row>
    <row r="7" spans="1:8" ht="15" thickBot="1">
      <c r="A7" s="1316" t="s">
        <v>404</v>
      </c>
      <c s="1317"/>
      <c s="1316"/>
      <c s="1317"/>
      <c s="1316"/>
      <c s="1329"/>
      <c s="1317"/>
      <c s="1150"/>
    </row>
    <row r="8" spans="1:8" ht="14.25">
      <c r="A8" s="1147"/>
      <c s="1147"/>
      <c s="1147"/>
      <c s="1148"/>
      <c s="1151"/>
      <c s="1151"/>
      <c s="1152"/>
      <c s="1152"/>
    </row>
    <row r="9" spans="1:8" ht="14.25">
      <c r="A9" s="1330" t="s">
        <v>206</v>
      </c>
      <c s="1331"/>
      <c s="1321" t="s">
        <v>207</v>
      </c>
      <c s="1323"/>
      <c s="1321" t="s">
        <v>208</v>
      </c>
      <c s="1322"/>
      <c s="1323"/>
      <c s="1165"/>
    </row>
    <row r="10" spans="1:8" ht="14.25">
      <c r="A10" s="1314" t="s">
        <v>209</v>
      </c>
      <c s="1315"/>
      <c s="1153" t="s">
        <v>210</v>
      </c>
      <c s="1154"/>
      <c s="1155" t="s">
        <v>210</v>
      </c>
      <c s="1156"/>
      <c s="1156"/>
      <c s="1156"/>
    </row>
    <row r="11" spans="1:8" ht="14.25">
      <c r="A11" s="1314"/>
      <c s="1315"/>
      <c s="1153" t="s">
        <v>211</v>
      </c>
      <c s="1154"/>
      <c s="1155" t="s">
        <v>211</v>
      </c>
      <c s="1156"/>
      <c s="1156"/>
      <c s="1156"/>
    </row>
    <row r="12" spans="1:8" ht="14.25">
      <c r="A12" s="1157" t="s">
        <v>212</v>
      </c>
      <c s="1158" t="s">
        <v>213</v>
      </c>
      <c s="1159" t="s">
        <v>214</v>
      </c>
      <c s="1160" t="s">
        <v>215</v>
      </c>
      <c s="1160" t="s">
        <v>216</v>
      </c>
      <c s="1161" t="s">
        <v>217</v>
      </c>
      <c s="1161" t="s">
        <v>218</v>
      </c>
      <c s="1162" t="s">
        <v>219</v>
      </c>
    </row>
    <row r="13" spans="1:8" s="1219" customFormat="1" ht="14.25" customHeight="1">
      <c r="A13" s="1220">
        <v>45625</v>
      </c>
      <c s="1221">
        <v>9990002</v>
      </c>
      <c s="1221" t="s">
        <v>724</v>
      </c>
      <c s="1222">
        <v>175</v>
      </c>
      <c s="1222">
        <v>0</v>
      </c>
      <c s="1223">
        <v>16888653.18</v>
      </c>
      <c s="1222">
        <v>0</v>
      </c>
      <c s="1221" t="s">
        <v>725</v>
      </c>
    </row>
    <row r="14" spans="1:8" s="1236" customFormat="1" ht="15" customHeight="1">
      <c r="A14" s="1224">
        <v>45625</v>
      </c>
      <c s="1225">
        <v>4524000010010</v>
      </c>
      <c s="1225" t="s">
        <v>477</v>
      </c>
      <c s="1227">
        <v>0</v>
      </c>
      <c s="1226">
        <v>1062130</v>
      </c>
      <c s="1226">
        <v>16888828.18</v>
      </c>
      <c s="1227">
        <v>0</v>
      </c>
      <c s="1225" t="s">
        <v>478</v>
      </c>
    </row>
    <row r="15" spans="1:8" s="1236" customFormat="1" ht="15" customHeight="1">
      <c r="A15" s="1220">
        <v>45625</v>
      </c>
      <c s="1221">
        <v>938427294574</v>
      </c>
      <c s="1221" t="s">
        <v>504</v>
      </c>
      <c s="1223">
        <v>1306.8699999999999</v>
      </c>
      <c s="1222">
        <v>0</v>
      </c>
      <c s="1223">
        <v>15826698.18</v>
      </c>
      <c s="1222">
        <v>938427294</v>
      </c>
      <c s="1221" t="s">
        <v>726</v>
      </c>
    </row>
    <row r="16" spans="1:8" s="1236" customFormat="1" ht="15" customHeight="1">
      <c r="A16" s="1224">
        <v>45625</v>
      </c>
      <c s="1225">
        <v>38427294574</v>
      </c>
      <c s="1225" t="s">
        <v>509</v>
      </c>
      <c s="1226">
        <v>871244.06999999995</v>
      </c>
      <c s="1227">
        <v>0</v>
      </c>
      <c s="1226">
        <v>15828005.050000001</v>
      </c>
      <c s="1227">
        <v>384272945</v>
      </c>
      <c s="1225" t="s">
        <v>727</v>
      </c>
    </row>
    <row r="17" spans="1:8" s="1236" customFormat="1" ht="15" customHeight="1">
      <c r="A17" s="1220">
        <v>45625</v>
      </c>
      <c s="1221">
        <v>938427283374</v>
      </c>
      <c s="1221" t="s">
        <v>504</v>
      </c>
      <c s="1222">
        <v>839.51999999999998</v>
      </c>
      <c s="1222">
        <v>0</v>
      </c>
      <c s="1223">
        <v>16699249.119999999</v>
      </c>
      <c s="1222">
        <v>938427283</v>
      </c>
      <c s="1221" t="s">
        <v>728</v>
      </c>
    </row>
    <row r="18" spans="1:8" s="1236" customFormat="1" ht="15" customHeight="1">
      <c r="A18" s="1224">
        <v>45625</v>
      </c>
      <c s="1225">
        <v>38427283374</v>
      </c>
      <c s="1225" t="s">
        <v>509</v>
      </c>
      <c s="1226">
        <v>559682.44999999995</v>
      </c>
      <c s="1227">
        <v>0</v>
      </c>
      <c s="1226">
        <v>16700088.640000001</v>
      </c>
      <c s="1227">
        <v>384272833</v>
      </c>
      <c s="1225" t="s">
        <v>729</v>
      </c>
    </row>
    <row r="19" spans="1:8" s="1236" customFormat="1" ht="15" thickBot="1">
      <c r="A19" s="1232"/>
      <c s="1233"/>
      <c s="1233"/>
      <c s="1234"/>
      <c s="1235"/>
      <c s="1234"/>
      <c s="1235"/>
      <c s="1233"/>
    </row>
    <row r="20" spans="1:8" ht="15" thickBot="1">
      <c r="A20" s="1316" t="s">
        <v>426</v>
      </c>
      <c s="1317"/>
      <c s="1316"/>
      <c s="1317"/>
      <c s="1316"/>
      <c s="1329"/>
      <c s="1317"/>
      <c s="1150"/>
    </row>
    <row r="21" spans="1:8" ht="14.25">
      <c r="A21" s="1327" t="s">
        <v>206</v>
      </c>
      <c s="1328"/>
      <c s="1324" t="s">
        <v>207</v>
      </c>
      <c s="1326"/>
      <c s="1324" t="s">
        <v>208</v>
      </c>
      <c s="1325"/>
      <c s="1326"/>
      <c s="1165"/>
    </row>
    <row r="22" spans="1:8" ht="14.25">
      <c r="A22" s="1314" t="s">
        <v>209</v>
      </c>
      <c s="1315"/>
      <c s="1153" t="s">
        <v>210</v>
      </c>
      <c s="1154">
        <f>A25</f>
        <v>45625</v>
      </c>
      <c s="1155" t="s">
        <v>210</v>
      </c>
      <c s="1156"/>
      <c s="1156"/>
      <c s="1156"/>
    </row>
    <row r="23" spans="1:8" ht="14.25">
      <c r="A23" s="1314"/>
      <c s="1315"/>
      <c s="1153" t="s">
        <v>211</v>
      </c>
      <c s="1154">
        <f>D22</f>
        <v>45625</v>
      </c>
      <c s="1155" t="s">
        <v>211</v>
      </c>
      <c s="1156"/>
      <c s="1156"/>
      <c s="1156"/>
    </row>
    <row r="24" spans="1:8" ht="15.75" customHeight="1">
      <c r="A24" s="1157" t="s">
        <v>212</v>
      </c>
      <c s="1158" t="s">
        <v>213</v>
      </c>
      <c s="1159" t="s">
        <v>214</v>
      </c>
      <c s="1160" t="s">
        <v>215</v>
      </c>
      <c s="1160" t="s">
        <v>216</v>
      </c>
      <c s="1161" t="s">
        <v>217</v>
      </c>
      <c s="1161" t="s">
        <v>218</v>
      </c>
      <c s="1162" t="s">
        <v>219</v>
      </c>
    </row>
    <row r="25" spans="1:8" ht="21" customHeight="1">
      <c r="A25" s="1220">
        <v>45625</v>
      </c>
      <c s="1221">
        <v>4524000010009</v>
      </c>
      <c s="1221" t="s">
        <v>610</v>
      </c>
      <c s="1223">
        <v>1062130</v>
      </c>
      <c s="1222">
        <v>0</v>
      </c>
      <c s="1222">
        <v>0</v>
      </c>
      <c s="1222">
        <v>0</v>
      </c>
      <c s="1221" t="s">
        <v>611</v>
      </c>
    </row>
    <row r="26" spans="1:8" ht="18" customHeight="1">
      <c r="A26" s="1224">
        <v>45625</v>
      </c>
      <c s="1225">
        <v>4524000010015</v>
      </c>
      <c s="1225" t="s">
        <v>612</v>
      </c>
      <c s="1226">
        <v>37800</v>
      </c>
      <c s="1227">
        <v>0</v>
      </c>
      <c s="1227">
        <v>0</v>
      </c>
      <c s="1227">
        <v>0</v>
      </c>
      <c s="1225" t="s">
        <v>190</v>
      </c>
    </row>
    <row r="27" spans="4:4" ht="14.25">
      <c r="D27" s="1164">
        <f>+SUM(D25+D26)</f>
        <v>1099930</v>
      </c>
    </row>
    <row r="32" spans="2:2" ht="14.25">
      <c r="B32" s="1163" t="s">
        <v>60</v>
      </c>
    </row>
    <row r="33" spans="4:5" ht="14.25">
      <c r="D33" s="1144" t="s">
        <v>60</v>
      </c>
      <c s="1144" t="s">
        <v>640</v>
      </c>
    </row>
    <row r="35" spans="4:4" ht="14.25">
      <c r="D35" s="1144" t="s">
        <v>645</v>
      </c>
    </row>
    <row r="38" spans="3:3" ht="14.25">
      <c r="C38" s="1294" t="s">
        <v>60</v>
      </c>
    </row>
  </sheetData>
  <mergeCells count="18">
    <mergeCell ref="C9:D9"/>
    <mergeCell ref="A21:B21"/>
    <mergeCell ref="C21:D21"/>
    <mergeCell ref="E20:G20"/>
    <mergeCell ref="C7:D7"/>
    <mergeCell ref="A7:B7"/>
    <mergeCell ref="A9:B9"/>
    <mergeCell ref="E7:G7"/>
    <mergeCell ref="A23:B23"/>
    <mergeCell ref="A22:B22"/>
    <mergeCell ref="A20:B20"/>
    <mergeCell ref="C20:D20"/>
    <mergeCell ref="A6:C6"/>
    <mergeCell ref="D6:H6"/>
    <mergeCell ref="A11:B11"/>
    <mergeCell ref="A10:B10"/>
    <mergeCell ref="E9:G9"/>
    <mergeCell ref="E21:G21"/>
  </mergeCells>
  <pageMargins left="0.31496062992126" right="0" top="1.57299212598425" bottom="0.748031496062992" header="0.31496062992126" footer="0.31496062992126"/>
  <pageSetup orientation="portrait" paperSize="9" scale="48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3"/>
  <dimension ref="A1:L34"/>
  <sheetViews>
    <sheetView workbookViewId="0" topLeftCell="A13">
      <selection pane="topLeft" activeCell="C26" sqref="C26:D29"/>
    </sheetView>
  </sheetViews>
  <sheetFormatPr defaultRowHeight="12.75"/>
  <cols>
    <col min="1" max="1" width="10.4285714285714" customWidth="1"/>
    <col min="2" max="2" width="14.7142857142857" customWidth="1"/>
    <col min="3" max="3" width="66.8571428571429" bestFit="1" customWidth="1"/>
    <col min="4" max="4" width="24.2857142857143" customWidth="1"/>
    <col min="5" max="5" width="29.2857142857143" customWidth="1"/>
    <col min="6" max="6" width="0.428571428571429" customWidth="1"/>
    <col min="7" max="7" width="25.8571428571429" customWidth="1"/>
    <col min="8" max="8" width="24.4285714285714" customWidth="1"/>
    <col min="9" max="10" width="25.5714285714286" customWidth="1"/>
    <col min="11" max="11" width="26.1428571428571" customWidth="1"/>
    <col min="12" max="12" width="19" customWidth="1"/>
  </cols>
  <sheetData>
    <row r="1" spans="1:11" ht="45" customHeight="1">
      <c r="A1" s="1447"/>
      <c s="1447"/>
      <c s="1447"/>
      <c s="1447"/>
      <c s="1447"/>
      <c s="1447"/>
      <c s="1447"/>
      <c s="1447"/>
      <c s="1447"/>
      <c s="1447"/>
      <c s="1447"/>
    </row>
    <row r="2" spans="1:11" ht="20.25">
      <c r="A2" s="1448" t="s">
        <v>2</v>
      </c>
      <c s="1448"/>
      <c s="1448"/>
      <c s="1448"/>
      <c s="1448"/>
      <c s="1448"/>
      <c s="1448"/>
      <c s="1448"/>
      <c s="1448"/>
      <c s="1448"/>
      <c s="1448"/>
    </row>
    <row r="3" spans="1:11" ht="20.25">
      <c r="A3" s="1448" t="s">
        <v>58</v>
      </c>
      <c s="1448"/>
      <c s="1448"/>
      <c s="1448"/>
      <c s="1448"/>
      <c s="1448"/>
      <c s="1448"/>
      <c s="1448"/>
      <c s="1448"/>
      <c s="1448"/>
      <c s="1448"/>
    </row>
    <row r="4" spans="1:11" ht="15.75">
      <c r="A4" s="1434" t="s">
        <v>103</v>
      </c>
      <c s="1434"/>
      <c s="1434"/>
      <c s="1434"/>
      <c s="1434"/>
      <c s="1434"/>
      <c s="1434"/>
      <c s="1434"/>
      <c s="1434"/>
      <c s="1434"/>
      <c s="1434"/>
    </row>
    <row r="5" spans="1:11" ht="20.25" customHeight="1">
      <c r="A5" s="1434" t="str">
        <f>'REGISTRO TRAMITES DEL DIA '!A3</f>
        <v>Reportes de los Ingresos según Ley No. 36 y Resolución No. 02-05; 02-06 de los Cobros BanReservas , Caja General y SIRITE al 30/11/2024</v>
      </c>
      <c s="1434"/>
      <c s="1434"/>
      <c s="1434"/>
      <c s="1434"/>
      <c s="1434"/>
      <c s="1434"/>
      <c s="1434"/>
      <c s="1434"/>
      <c s="1434"/>
      <c s="1434"/>
    </row>
    <row r="6" spans="1:11" ht="18.75" customHeight="1">
      <c r="A6" s="1434" t="s">
        <v>83</v>
      </c>
      <c s="1434"/>
      <c s="1434"/>
      <c s="1434"/>
      <c s="1434"/>
      <c s="1434"/>
      <c s="1434"/>
      <c s="1434"/>
      <c s="1434"/>
      <c s="1434"/>
      <c s="1434"/>
    </row>
    <row r="7" spans="1:11" ht="13.5" thickBot="1">
      <c r="A7" s="1435"/>
      <c s="1435"/>
      <c s="1435"/>
      <c s="1435"/>
      <c s="1435"/>
      <c s="1436"/>
      <c s="1436"/>
      <c s="1436"/>
      <c s="1436"/>
      <c s="1436"/>
      <c s="1436"/>
    </row>
    <row r="8" spans="1:11" ht="22.5" customHeight="1" thickBot="1">
      <c r="A8" s="1437" t="s">
        <v>38</v>
      </c>
      <c s="1439" t="s">
        <v>39</v>
      </c>
      <c s="1441"/>
      <c s="1442"/>
      <c s="1442"/>
      <c s="226"/>
      <c s="230"/>
      <c s="233" t="s">
        <v>156</v>
      </c>
      <c s="231"/>
      <c s="231"/>
      <c s="232"/>
    </row>
    <row r="9" spans="1:11" ht="55.5" customHeight="1" thickBot="1">
      <c r="A9" s="1438"/>
      <c s="1440"/>
      <c s="207" t="s">
        <v>40</v>
      </c>
      <c s="208" t="s">
        <v>41</v>
      </c>
      <c s="214" t="s">
        <v>158</v>
      </c>
      <c s="217"/>
      <c s="227" t="s">
        <v>151</v>
      </c>
      <c s="228" t="s">
        <v>152</v>
      </c>
      <c s="228" t="s">
        <v>153</v>
      </c>
      <c s="228" t="s">
        <v>154</v>
      </c>
      <c s="229" t="s">
        <v>155</v>
      </c>
    </row>
    <row r="10" spans="1:12" s="1" customFormat="1" ht="30" customHeight="1">
      <c r="A10" s="40" t="s">
        <v>42</v>
      </c>
      <c s="41">
        <f>'REGISTRO TRAMITES DEL DIA '!B19</f>
        <v>21</v>
      </c>
      <c s="136" t="s">
        <v>0</v>
      </c>
      <c s="155">
        <v>6240</v>
      </c>
      <c s="156" t="e">
        <f>#N/A</f>
        <v>#N/A</v>
      </c>
      <c s="218"/>
      <c s="187">
        <f>B10*2200</f>
        <v>46200</v>
      </c>
      <c s="188">
        <f>B10*500</f>
        <v>10500</v>
      </c>
      <c s="188">
        <f>B10*800</f>
        <v>16800</v>
      </c>
      <c s="188">
        <f>B10*2700</f>
        <v>56700</v>
      </c>
      <c s="185">
        <f>B10*40</f>
        <v>840</v>
      </c>
      <c s="241"/>
    </row>
    <row r="11" spans="1:12" s="1" customFormat="1" ht="30" customHeight="1">
      <c r="A11" s="40" t="s">
        <v>43</v>
      </c>
      <c s="42">
        <f>'REGISTRO TRAMITES DEL DIA '!C19</f>
        <v>97</v>
      </c>
      <c s="137" t="s">
        <v>44</v>
      </c>
      <c s="158">
        <v>11240</v>
      </c>
      <c s="159" t="e">
        <f>#N/A</f>
        <v>#N/A</v>
      </c>
      <c s="218"/>
      <c s="189">
        <f>B11*2200</f>
        <v>213400</v>
      </c>
      <c s="185">
        <f>B11*500</f>
        <v>48500</v>
      </c>
      <c s="185">
        <f>B11*800</f>
        <v>77600</v>
      </c>
      <c s="185">
        <f>B11*7700</f>
        <v>746900</v>
      </c>
      <c s="185">
        <f>B11*40</f>
        <v>3880</v>
      </c>
      <c s="241"/>
    </row>
    <row r="12" spans="1:12" s="1" customFormat="1" ht="30" customHeight="1">
      <c r="A12" s="40" t="s">
        <v>45</v>
      </c>
      <c s="42">
        <f>'REGISTRO TRAMITES DEL DIA '!D19</f>
        <v>4830</v>
      </c>
      <c s="137" t="s">
        <v>46</v>
      </c>
      <c s="158">
        <v>4940</v>
      </c>
      <c s="159" t="e">
        <f>#N/A</f>
        <v>#N/A</v>
      </c>
      <c s="218"/>
      <c s="189">
        <f>B12*2200</f>
        <v>10626000</v>
      </c>
      <c s="185">
        <f>B12*500</f>
        <v>2415000</v>
      </c>
      <c s="185"/>
      <c s="185">
        <f>B12*2200</f>
        <v>10626000</v>
      </c>
      <c s="185">
        <f>B12*40</f>
        <v>193200</v>
      </c>
      <c s="241"/>
    </row>
    <row r="13" spans="1:12" s="1" customFormat="1" ht="33" customHeight="1">
      <c r="A13" s="40" t="s">
        <v>47</v>
      </c>
      <c s="42">
        <f>'REGISTRO TRAMITES DEL DIA '!E19</f>
        <v>0</v>
      </c>
      <c s="137" t="s">
        <v>48</v>
      </c>
      <c s="158">
        <v>4615</v>
      </c>
      <c s="159" t="e">
        <f>#N/A</f>
        <v>#N/A</v>
      </c>
      <c s="218"/>
      <c s="189">
        <f>B13*2075</f>
        <v>0</v>
      </c>
      <c s="185">
        <f>B13*500</f>
        <v>0</v>
      </c>
      <c s="185">
        <f>B13*800</f>
        <v>0</v>
      </c>
      <c s="185">
        <f>B13*1200</f>
        <v>0</v>
      </c>
      <c s="185">
        <f>B13*40</f>
        <v>0</v>
      </c>
      <c s="241"/>
    </row>
    <row r="14" spans="1:12" s="1" customFormat="1" ht="30" customHeight="1">
      <c r="A14" s="40" t="s">
        <v>49</v>
      </c>
      <c s="42">
        <f>'REGISTRO TRAMITES DEL DIA '!G19</f>
        <v>1</v>
      </c>
      <c s="137" t="s">
        <v>50</v>
      </c>
      <c s="158">
        <v>2840</v>
      </c>
      <c s="159" t="e">
        <f>#N/A</f>
        <v>#N/A</v>
      </c>
      <c s="218"/>
      <c s="189"/>
      <c s="185">
        <f>B14*500</f>
        <v>500</v>
      </c>
      <c s="185">
        <f>B14*800</f>
        <v>800</v>
      </c>
      <c s="185">
        <f>B14*1500</f>
        <v>1500</v>
      </c>
      <c s="185">
        <f>B14*40</f>
        <v>40</v>
      </c>
      <c s="241"/>
    </row>
    <row r="15" spans="1:12" s="1" customFormat="1" ht="30" customHeight="1">
      <c r="A15" s="40" t="s">
        <v>51</v>
      </c>
      <c s="42">
        <f>'REGISTRO TRAMITES DEL DIA '!H19</f>
        <v>19</v>
      </c>
      <c s="137" t="s">
        <v>1</v>
      </c>
      <c s="158">
        <v>500</v>
      </c>
      <c s="159" t="e">
        <f>#N/A</f>
        <v>#N/A</v>
      </c>
      <c s="218"/>
      <c s="189"/>
      <c s="185"/>
      <c s="185"/>
      <c s="185">
        <f>B15*500</f>
        <v>9500</v>
      </c>
      <c s="185"/>
      <c s="241"/>
    </row>
    <row r="16" spans="1:12" s="1" customFormat="1" ht="30" customHeight="1">
      <c r="A16" s="40" t="s">
        <v>52</v>
      </c>
      <c s="42">
        <f>'REGISTRO TRAMITES DEL DIA '!F19</f>
        <v>0</v>
      </c>
      <c s="137" t="s">
        <v>53</v>
      </c>
      <c s="158">
        <v>2840</v>
      </c>
      <c s="159" t="e">
        <f>#N/A</f>
        <v>#N/A</v>
      </c>
      <c s="218"/>
      <c s="189"/>
      <c s="185">
        <f>B16*500</f>
        <v>0</v>
      </c>
      <c s="185"/>
      <c s="185">
        <f>B16*2300</f>
        <v>0</v>
      </c>
      <c s="185">
        <f>B16*40</f>
        <v>0</v>
      </c>
      <c s="241"/>
    </row>
    <row r="17" spans="1:12" s="1" customFormat="1" ht="30" customHeight="1">
      <c r="A17" s="40" t="s">
        <v>54</v>
      </c>
      <c s="42">
        <f>'REGISTRO TRAMITES DEL DIA '!I19</f>
        <v>66</v>
      </c>
      <c s="137" t="s">
        <v>3</v>
      </c>
      <c s="158">
        <v>700</v>
      </c>
      <c s="159" t="e">
        <f>#N/A</f>
        <v>#N/A</v>
      </c>
      <c s="218"/>
      <c s="189"/>
      <c s="185"/>
      <c s="185"/>
      <c s="185">
        <f>B17*700</f>
        <v>46200</v>
      </c>
      <c s="185"/>
      <c s="241"/>
    </row>
    <row r="18" spans="1:12" s="1" customFormat="1" ht="30" customHeight="1">
      <c r="A18" s="40" t="s">
        <v>55</v>
      </c>
      <c s="42">
        <f>'REGISTRO TRAMITES DEL DIA '!J16</f>
        <v>4338</v>
      </c>
      <c s="137" t="s">
        <v>138</v>
      </c>
      <c s="158">
        <v>700</v>
      </c>
      <c s="159" t="e">
        <f>#N/A</f>
        <v>#N/A</v>
      </c>
      <c s="218"/>
      <c s="189"/>
      <c s="185"/>
      <c s="185"/>
      <c s="185">
        <f>B18*700</f>
        <v>3036600</v>
      </c>
      <c s="185"/>
      <c s="241"/>
    </row>
    <row r="19" spans="1:12" s="1" customFormat="1" ht="30" customHeight="1">
      <c r="A19" s="40" t="s">
        <v>133</v>
      </c>
      <c s="42">
        <f>'REGISTRO TRAMITES DEL DIA '!K19</f>
        <v>2</v>
      </c>
      <c s="137" t="s">
        <v>139</v>
      </c>
      <c s="158">
        <v>4615</v>
      </c>
      <c s="157" t="e">
        <f>#N/A</f>
        <v>#N/A</v>
      </c>
      <c s="218"/>
      <c s="215">
        <f>B19*2075</f>
        <v>4150</v>
      </c>
      <c s="201">
        <f>B19*500</f>
        <v>1000</v>
      </c>
      <c s="201">
        <f>B19*800</f>
        <v>1600</v>
      </c>
      <c s="201">
        <f>B19*1200</f>
        <v>2400</v>
      </c>
      <c s="201">
        <f>B19*40</f>
        <v>80</v>
      </c>
      <c s="241"/>
    </row>
    <row r="20" spans="1:12" s="1" customFormat="1" ht="30" customHeight="1">
      <c r="A20" s="40" t="s">
        <v>134</v>
      </c>
      <c s="42">
        <f>'REGISTRO TRAMITES DEL DIA '!L19</f>
        <v>32</v>
      </c>
      <c s="137" t="s">
        <v>140</v>
      </c>
      <c s="158">
        <v>4615</v>
      </c>
      <c s="157" t="e">
        <f>#N/A</f>
        <v>#N/A</v>
      </c>
      <c s="218"/>
      <c s="215">
        <f>B20*2075</f>
        <v>66400</v>
      </c>
      <c s="201">
        <f>B20*500</f>
        <v>16000</v>
      </c>
      <c s="201">
        <f>B20*800</f>
        <v>25600</v>
      </c>
      <c s="201">
        <f>B20*1200</f>
        <v>38400</v>
      </c>
      <c s="201">
        <f>B20*40</f>
        <v>1280</v>
      </c>
      <c s="241"/>
    </row>
    <row r="21" spans="1:12" s="1" customFormat="1" ht="30" customHeight="1">
      <c r="A21" s="40" t="s">
        <v>135</v>
      </c>
      <c s="42">
        <f>'REGISTRO TRAMITES DEL DIA '!M19</f>
        <v>13</v>
      </c>
      <c s="137" t="s">
        <v>141</v>
      </c>
      <c s="158">
        <v>4615</v>
      </c>
      <c s="157" t="e">
        <f>#N/A</f>
        <v>#N/A</v>
      </c>
      <c s="218"/>
      <c s="215">
        <f>B21*2075</f>
        <v>26975</v>
      </c>
      <c s="201">
        <f>B21*500</f>
        <v>6500</v>
      </c>
      <c s="201">
        <f>B21*800</f>
        <v>10400</v>
      </c>
      <c s="201">
        <f>B21*1200</f>
        <v>15600</v>
      </c>
      <c s="201">
        <f>B21*40</f>
        <v>520</v>
      </c>
      <c s="241"/>
    </row>
    <row r="22" spans="1:12" s="1" customFormat="1" ht="30" customHeight="1">
      <c r="A22" s="40" t="s">
        <v>136</v>
      </c>
      <c s="42">
        <f>'REGISTRO TRAMITES DEL DIA '!N19</f>
        <v>69</v>
      </c>
      <c s="137" t="s">
        <v>142</v>
      </c>
      <c s="158">
        <v>700</v>
      </c>
      <c s="157" t="e">
        <f>#N/A</f>
        <v>#N/A</v>
      </c>
      <c s="218"/>
      <c s="215"/>
      <c s="201"/>
      <c s="201"/>
      <c s="201">
        <f>B22*700</f>
        <v>48300</v>
      </c>
      <c s="201"/>
      <c s="241"/>
    </row>
    <row r="23" spans="1:12" s="1" customFormat="1" ht="30" customHeight="1">
      <c r="A23" s="40" t="s">
        <v>137</v>
      </c>
      <c s="42">
        <f>'REGISTRO TRAMITES DEL DIA '!O19</f>
        <v>0</v>
      </c>
      <c s="137" t="s">
        <v>143</v>
      </c>
      <c s="158">
        <v>6240</v>
      </c>
      <c s="157" t="e">
        <f>#N/A</f>
        <v>#N/A</v>
      </c>
      <c s="218"/>
      <c s="215">
        <f>B23*2200</f>
        <v>0</v>
      </c>
      <c s="201">
        <f>B23*500</f>
        <v>0</v>
      </c>
      <c s="201">
        <f>B23*800</f>
        <v>0</v>
      </c>
      <c s="201">
        <f>B23*2700</f>
        <v>0</v>
      </c>
      <c s="201">
        <f>B23*40</f>
        <v>0</v>
      </c>
      <c s="241"/>
    </row>
    <row r="24" spans="1:11" s="1" customFormat="1" ht="12.75" customHeight="1" thickBot="1">
      <c r="A24" s="138"/>
      <c s="42"/>
      <c s="137"/>
      <c s="158"/>
      <c s="160"/>
      <c s="219"/>
      <c s="216"/>
      <c s="190"/>
      <c s="190"/>
      <c s="190"/>
      <c s="190"/>
    </row>
    <row r="25" spans="2:12" ht="30" customHeight="1">
      <c r="B25" s="43">
        <f>SUM(B10:B24)</f>
        <v>9488</v>
      </c>
      <c s="1449" t="s">
        <v>126</v>
      </c>
      <c s="1449"/>
      <c s="161" t="e">
        <f>#N/A</f>
        <v>#N/A</v>
      </c>
      <c s="161"/>
      <c s="161" t="e">
        <f>#N/A</f>
        <v>#N/A</v>
      </c>
      <c s="161" t="e">
        <f>#N/A</f>
        <v>#N/A</v>
      </c>
      <c s="161" t="e">
        <f>#N/A</f>
        <v>#N/A</v>
      </c>
      <c s="161" t="e">
        <f>#N/A</f>
        <v>#N/A</v>
      </c>
      <c s="161" t="e">
        <f>#N/A</f>
        <v>#N/A</v>
      </c>
      <c s="114"/>
    </row>
    <row r="26" spans="2:11" ht="30" customHeight="1" thickBot="1">
      <c r="B26" s="2"/>
      <c s="1443" t="s">
        <v>104</v>
      </c>
      <c s="1443"/>
      <c s="139"/>
      <c s="139"/>
      <c s="139"/>
      <c s="139"/>
      <c s="139"/>
      <c s="139"/>
      <c s="139"/>
    </row>
    <row r="27" spans="2:11" ht="30" customHeight="1">
      <c r="B27" s="39">
        <f>'REGISTRO TRAMITES DEL DIA '!U19</f>
        <v>0</v>
      </c>
      <c s="1444" t="s">
        <v>120</v>
      </c>
      <c s="1445"/>
      <c s="220">
        <f>'REGISTRO TRAMITES DEL DIA '!V19</f>
        <v>0</v>
      </c>
      <c s="223"/>
      <c s="211">
        <v>0</v>
      </c>
      <c s="140">
        <v>0</v>
      </c>
      <c s="140"/>
      <c s="140">
        <f>E27</f>
        <v>0</v>
      </c>
      <c s="141">
        <v>0</v>
      </c>
    </row>
    <row r="28" spans="2:11" ht="30" customHeight="1" thickBot="1">
      <c r="B28" s="146" t="e">
        <f>[1]CALCULOS!U10</f>
        <v>#REF!</v>
      </c>
      <c s="1444" t="s">
        <v>150</v>
      </c>
      <c s="1445"/>
      <c s="221" t="e">
        <f>[1]CALCULOS!U10*[1]CALCULOS!V10</f>
        <v>#REF!</v>
      </c>
      <c s="224"/>
      <c s="212">
        <v>0</v>
      </c>
      <c s="44">
        <v>0</v>
      </c>
      <c s="44">
        <v>0</v>
      </c>
      <c s="206">
        <v>0</v>
      </c>
      <c s="142">
        <v>0</v>
      </c>
    </row>
    <row r="29" spans="2:11" ht="30" customHeight="1" thickBot="1">
      <c r="B29" s="2"/>
      <c s="1446" t="s">
        <v>127</v>
      </c>
      <c s="1446"/>
      <c s="222" t="e">
        <f>SUM(G29:K29)</f>
        <v>#N/A</v>
      </c>
      <c s="225"/>
      <c s="213" t="e">
        <f>G25+G27-G28</f>
        <v>#N/A</v>
      </c>
      <c s="209" t="e">
        <f>H25+H27-H28</f>
        <v>#N/A</v>
      </c>
      <c s="209" t="e">
        <f>I25+I27-I28</f>
        <v>#N/A</v>
      </c>
      <c s="209" t="e">
        <f>J25+J27-J28</f>
        <v>#N/A</v>
      </c>
      <c s="210" t="e">
        <f>K25+K27-K28</f>
        <v>#N/A</v>
      </c>
    </row>
    <row r="30" spans="2:11" ht="30" customHeight="1">
      <c r="B30" s="2"/>
      <c s="149"/>
      <c s="149"/>
      <c s="150"/>
      <c s="150"/>
      <c s="150"/>
      <c s="150"/>
      <c s="150"/>
      <c s="150"/>
      <c s="150"/>
    </row>
    <row r="31" spans="1:10" ht="119.25" customHeight="1">
      <c r="A31" s="1433"/>
      <c s="1433"/>
      <c s="1433"/>
      <c s="1433"/>
      <c s="1433"/>
      <c s="1433"/>
      <c s="1433"/>
      <c s="1433"/>
      <c s="1433"/>
      <c s="1433"/>
    </row>
    <row r="32" spans="1:11" s="2" customFormat="1" ht="18">
      <c r="A32" s="1434" t="s">
        <v>110</v>
      </c>
      <c s="1434"/>
      <c s="39" t="s">
        <v>27</v>
      </c>
      <c s="1434" t="s">
        <v>9</v>
      </c>
      <c s="1434"/>
      <c s="39"/>
      <c s="1434" t="s">
        <v>121</v>
      </c>
      <c s="1434"/>
      <c s="143"/>
      <c s="1452" t="s">
        <v>125</v>
      </c>
      <c s="1452"/>
    </row>
    <row r="33" spans="1:11" s="2" customFormat="1" ht="18">
      <c r="A33" s="1434" t="s">
        <v>4</v>
      </c>
      <c s="1434"/>
      <c s="144" t="s">
        <v>6</v>
      </c>
      <c s="1451" t="s">
        <v>5</v>
      </c>
      <c s="1451"/>
      <c s="144"/>
      <c s="2" t="s">
        <v>124</v>
      </c>
      <c r="I33" s="145"/>
      <c s="1453" t="s">
        <v>58</v>
      </c>
      <c s="1453"/>
    </row>
    <row r="34" spans="3:11" s="2" customFormat="1" ht="18">
      <c r="C34" s="39" t="s">
        <v>105</v>
      </c>
      <c s="1434" t="s">
        <v>7</v>
      </c>
      <c s="1434"/>
      <c s="39"/>
      <c s="1434" t="s">
        <v>64</v>
      </c>
      <c s="1434"/>
      <c s="143"/>
      <c s="1450" t="s">
        <v>65</v>
      </c>
      <c s="1450"/>
    </row>
  </sheetData>
  <mergeCells count="26">
    <mergeCell ref="J34:K34"/>
    <mergeCell ref="D33:E33"/>
    <mergeCell ref="D34:E34"/>
    <mergeCell ref="G34:H34"/>
    <mergeCell ref="A32:B32"/>
    <mergeCell ref="J32:K32"/>
    <mergeCell ref="A33:B33"/>
    <mergeCell ref="J33:K33"/>
    <mergeCell ref="C27:D27"/>
    <mergeCell ref="C28:D28"/>
    <mergeCell ref="C29:D29"/>
    <mergeCell ref="A1:K1"/>
    <mergeCell ref="A2:K2"/>
    <mergeCell ref="A3:K3"/>
    <mergeCell ref="A4:K4"/>
    <mergeCell ref="C25:D25"/>
    <mergeCell ref="A31:J31"/>
    <mergeCell ref="D32:E32"/>
    <mergeCell ref="G32:H32"/>
    <mergeCell ref="A5:K5"/>
    <mergeCell ref="A6:K6"/>
    <mergeCell ref="A7:K7"/>
    <mergeCell ref="A8:A9"/>
    <mergeCell ref="B8:B9"/>
    <mergeCell ref="C8:E8"/>
    <mergeCell ref="C26:D26"/>
  </mergeCells>
  <pageMargins left="0.28" right="0.17" top="0.42" bottom="0.17" header="0" footer="0"/>
  <pageSetup orientation="landscape" paperSize="9" scale="55" r:id="rId2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6">
    <tabColor indexed="8"/>
    <pageSetUpPr fitToPage="1"/>
  </sheetPr>
  <dimension ref="A1:G24"/>
  <sheetViews>
    <sheetView workbookViewId="0" topLeftCell="A1">
      <selection pane="topLeft" activeCell="E47" activeCellId="1" sqref="A19:B19 E47"/>
    </sheetView>
  </sheetViews>
  <sheetFormatPr defaultRowHeight="12.75"/>
  <cols>
    <col min="1" max="1" width="60.5714285714286" customWidth="1"/>
    <col min="2" max="2" width="21.7142857142857" bestFit="1" customWidth="1"/>
    <col min="3" max="3" width="15.7142857142857" customWidth="1"/>
    <col min="4" max="4" width="23.8571428571429" customWidth="1"/>
  </cols>
  <sheetData>
    <row r="1" spans="1:4" ht="18" customHeight="1">
      <c r="A1" s="1464" t="s">
        <v>107</v>
      </c>
      <c s="1464"/>
      <c s="1464"/>
      <c s="1464"/>
    </row>
    <row r="2" spans="1:4" ht="18" customHeight="1">
      <c r="A2" s="1464" t="s">
        <v>106</v>
      </c>
      <c s="1464"/>
      <c s="1464"/>
      <c s="1464"/>
    </row>
    <row r="3" spans="1:4" ht="18" customHeight="1">
      <c r="A3" s="1464" t="str">
        <f>'REGISTRO TRAMITES DEL DIA '!A1</f>
        <v>Del 01/11/2024 al 30/11/2024</v>
      </c>
      <c s="1464"/>
      <c s="1464"/>
      <c s="1464"/>
    </row>
    <row r="4" spans="1:4" ht="18" customHeight="1">
      <c r="A4" s="1464" t="s">
        <v>61</v>
      </c>
      <c s="1464"/>
      <c s="1464"/>
      <c s="1464"/>
    </row>
    <row r="5" spans="1:4" ht="31.5" customHeight="1" thickBot="1">
      <c r="A5" s="1455"/>
      <c s="1455"/>
      <c s="1455"/>
      <c s="1455"/>
    </row>
    <row r="6" spans="1:4" ht="16.5" thickBot="1">
      <c r="A6" s="6" t="s">
        <v>28</v>
      </c>
      <c s="7" t="s">
        <v>29</v>
      </c>
      <c s="8"/>
      <c s="9" t="s">
        <v>30</v>
      </c>
    </row>
    <row r="7" spans="1:4" ht="15.75">
      <c r="A7" s="10" t="s">
        <v>12</v>
      </c>
      <c s="13">
        <f>'OAI '!I63</f>
        <v>11713075</v>
      </c>
      <c s="14"/>
      <c s="15">
        <f>B7</f>
        <v>11713075</v>
      </c>
    </row>
    <row r="8" spans="1:4" ht="15.75">
      <c r="A8" s="19" t="s">
        <v>13</v>
      </c>
      <c s="20" t="e">
        <f>'OAI '!#REF!</f>
        <v>#REF!</v>
      </c>
      <c s="20"/>
      <c s="21" t="e">
        <f>B8</f>
        <v>#REF!</v>
      </c>
    </row>
    <row r="9" spans="1:7" ht="15.75">
      <c r="A9" s="19" t="s">
        <v>32</v>
      </c>
      <c s="20">
        <f>'OAI '!J63</f>
        <v>308800</v>
      </c>
      <c s="20"/>
      <c s="21">
        <f>B9</f>
        <v>308800</v>
      </c>
      <c r="G9" s="45"/>
    </row>
    <row r="10" spans="1:7" ht="16.5" thickBot="1">
      <c r="A10" s="16" t="s">
        <v>131</v>
      </c>
      <c s="17" t="e">
        <f>'OAI '!#REF!</f>
        <v>#REF!</v>
      </c>
      <c s="20"/>
      <c s="18" t="e">
        <f>B10</f>
        <v>#REF!</v>
      </c>
      <c r="G10" s="45"/>
    </row>
    <row r="11" spans="1:7" ht="16.5" thickBot="1">
      <c r="A11" s="1458" t="s">
        <v>102</v>
      </c>
      <c s="1458"/>
      <c s="1459"/>
      <c s="22" t="e">
        <f>SUM(D7:D10)</f>
        <v>#REF!</v>
      </c>
      <c r="G11" s="46"/>
    </row>
    <row r="12" spans="1:4" ht="15.75">
      <c r="A12" s="23"/>
      <c s="23"/>
      <c s="23"/>
      <c s="23"/>
    </row>
    <row r="13" spans="1:4" ht="15.75">
      <c r="A13" s="23"/>
      <c s="23"/>
      <c s="23"/>
      <c s="23"/>
    </row>
    <row r="14" spans="1:4" ht="15.75">
      <c r="A14" s="23"/>
      <c s="23"/>
      <c s="23"/>
      <c s="23"/>
    </row>
    <row r="15" spans="1:4" ht="15.75">
      <c r="A15" s="23"/>
      <c s="23"/>
      <c s="23"/>
      <c s="162"/>
    </row>
    <row r="16" spans="1:4" ht="15.75">
      <c r="A16" s="1460" t="s">
        <v>33</v>
      </c>
      <c s="1461"/>
      <c s="11"/>
      <c s="24"/>
    </row>
    <row r="17" spans="1:4" ht="15.75">
      <c r="A17" s="1462" t="s">
        <v>62</v>
      </c>
      <c s="1463"/>
      <c s="12"/>
      <c s="25"/>
    </row>
    <row r="18" spans="1:4" ht="15.75">
      <c r="A18" s="1456" t="s">
        <v>162</v>
      </c>
      <c s="1457"/>
      <c s="26">
        <f>'ING. CAJA GRAL. MIP DEL DIA'!K46</f>
        <v>896549.99799999991</v>
      </c>
      <c s="25"/>
    </row>
    <row r="19" spans="1:4" ht="15.75">
      <c r="A19" s="1456" t="s">
        <v>163</v>
      </c>
      <c s="1457"/>
      <c s="27" t="e">
        <f>'ING. CAJA GRAL. MIP DEL DIA'!#REF!</f>
        <v>#REF!</v>
      </c>
      <c s="27" t="e">
        <f>C18+C19</f>
        <v>#REF!</v>
      </c>
    </row>
    <row r="20" spans="1:4" ht="15.75">
      <c r="A20" s="1456" t="s">
        <v>34</v>
      </c>
      <c s="1457"/>
      <c s="28"/>
      <c s="26" t="e">
        <f>D11</f>
        <v>#REF!</v>
      </c>
    </row>
    <row r="21" spans="1:4" ht="15.75">
      <c r="A21" s="1456" t="str">
        <f>'REGISTRO TRAMITES DEL DIA '!A5</f>
        <v>Total de Ingresos Recaudados del 01 al 30/11/2024 ===========================&gt;</v>
      </c>
      <c s="1457"/>
      <c s="28"/>
      <c s="29" t="e">
        <f>D19+D20</f>
        <v>#REF!</v>
      </c>
    </row>
    <row r="22" spans="1:4" ht="149.25" customHeight="1">
      <c r="A22" s="1454"/>
      <c s="1454"/>
      <c s="1454"/>
      <c s="1454"/>
    </row>
    <row r="23" spans="1:4" ht="15.75">
      <c r="A23" s="31" t="s">
        <v>110</v>
      </c>
      <c s="1465" t="s">
        <v>109</v>
      </c>
      <c s="1465"/>
      <c s="1465"/>
    </row>
    <row r="24" spans="1:4" ht="15.75">
      <c r="A24" s="30" t="s">
        <v>111</v>
      </c>
      <c s="1454" t="s">
        <v>8</v>
      </c>
      <c s="1454"/>
      <c s="1454"/>
    </row>
  </sheetData>
  <mergeCells count="15">
    <mergeCell ref="A1:D1"/>
    <mergeCell ref="A2:D2"/>
    <mergeCell ref="A3:D3"/>
    <mergeCell ref="A4:D4"/>
    <mergeCell ref="B23:D23"/>
    <mergeCell ref="B24:D24"/>
    <mergeCell ref="A5:D5"/>
    <mergeCell ref="A19:B19"/>
    <mergeCell ref="A20:B20"/>
    <mergeCell ref="A21:B21"/>
    <mergeCell ref="A22:D22"/>
    <mergeCell ref="A11:C11"/>
    <mergeCell ref="A16:B16"/>
    <mergeCell ref="A17:B17"/>
    <mergeCell ref="A18:B18"/>
  </mergeCells>
  <printOptions horizontalCentered="1"/>
  <pageMargins left="0.590551181102362" right="0.590551181102362" top="1.5748031496063" bottom="0.984251968503937" header="0" footer="0"/>
  <pageSetup orientation="portrait" paperSize="9" scale="75" r:id="rId1"/>
  <headerFooter alignWithMargins="0">
    <oddHeader xml:space="preserve">&amp;C&amp;"Arial,Negrita"&amp;22
&amp;24MINISTERIO DE INTERIOR Y POLICIA 
DIRECCION FINANCIERA&amp;22 
DEPARTAMENTO DE TESORERIA 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7">
    <tabColor indexed="8"/>
    <pageSetUpPr fitToPage="1"/>
  </sheetPr>
  <dimension ref="A1:G21"/>
  <sheetViews>
    <sheetView workbookViewId="0" topLeftCell="A1">
      <selection pane="topLeft" activeCell="E31" sqref="E31"/>
    </sheetView>
  </sheetViews>
  <sheetFormatPr defaultRowHeight="12.75"/>
  <cols>
    <col min="1" max="1" width="60.7142857142857" customWidth="1"/>
    <col min="2" max="2" width="21.7142857142857" bestFit="1" customWidth="1"/>
    <col min="3" max="3" width="16.4285714285714" customWidth="1"/>
    <col min="4" max="4" width="22" bestFit="1" customWidth="1"/>
  </cols>
  <sheetData>
    <row r="1" spans="1:4" ht="18" customHeight="1">
      <c r="A1" s="1464" t="s">
        <v>107</v>
      </c>
      <c s="1464"/>
      <c s="1464"/>
      <c s="1464"/>
    </row>
    <row r="2" spans="1:4" ht="18" customHeight="1">
      <c r="A2" s="1464" t="s">
        <v>106</v>
      </c>
      <c s="1464"/>
      <c s="1464"/>
      <c s="1464"/>
    </row>
    <row r="3" spans="1:4" ht="18" customHeight="1">
      <c r="A3" s="1464" t="str">
        <f>'REGISTRO TRAMITES DEL DIA '!A2</f>
        <v>Del 01/11/2024 al 30/11/2024</v>
      </c>
      <c s="1464"/>
      <c s="1464"/>
      <c s="1464"/>
    </row>
    <row r="4" spans="1:4" ht="31.5" customHeight="1" thickBot="1">
      <c r="A4" s="1455"/>
      <c s="1455"/>
      <c s="1455"/>
      <c s="1455"/>
    </row>
    <row r="5" spans="1:4" ht="16.5" thickBot="1">
      <c r="A5" s="6" t="s">
        <v>28</v>
      </c>
      <c s="7" t="s">
        <v>29</v>
      </c>
      <c s="8"/>
      <c s="9" t="s">
        <v>30</v>
      </c>
    </row>
    <row r="6" spans="1:4" ht="16.5" thickBot="1">
      <c r="A6" s="10" t="s">
        <v>12</v>
      </c>
      <c s="13">
        <f>'INGRESOS ACUMULADOS '!I73</f>
        <v>11197761.390000001</v>
      </c>
      <c s="14"/>
      <c s="15">
        <f>B6</f>
        <v>11197761.390000001</v>
      </c>
    </row>
    <row r="7" spans="1:4" ht="16.5" thickBot="1">
      <c r="A7" s="19" t="s">
        <v>13</v>
      </c>
      <c s="20" t="e">
        <f>'INGRESOS ACUMULADOS '!#REF!</f>
        <v>#REF!</v>
      </c>
      <c s="20"/>
      <c s="15" t="e">
        <f>B7</f>
        <v>#REF!</v>
      </c>
    </row>
    <row r="8" spans="1:7" ht="16.5" thickBot="1">
      <c r="A8" s="19" t="s">
        <v>32</v>
      </c>
      <c s="20">
        <f>'INGRESOS ACUMULADOS '!J73</f>
        <v>15828483.08</v>
      </c>
      <c s="20"/>
      <c s="15">
        <f>B8</f>
        <v>15828483.08</v>
      </c>
      <c r="G8" s="45"/>
    </row>
    <row r="9" spans="1:7" ht="16.5" thickBot="1">
      <c r="A9" s="16" t="s">
        <v>31</v>
      </c>
      <c s="17">
        <f>'INGRESOS ACUMULADOS '!M73</f>
        <v>900600</v>
      </c>
      <c s="20"/>
      <c s="15">
        <f>B9</f>
        <v>900600</v>
      </c>
      <c r="G9" s="45"/>
    </row>
    <row r="10" spans="1:7" ht="16.5" thickBot="1">
      <c r="A10" s="1458" t="s">
        <v>102</v>
      </c>
      <c s="1458"/>
      <c s="1459"/>
      <c s="22" t="e">
        <f>SUM(D6:D9)</f>
        <v>#REF!</v>
      </c>
      <c r="G10" s="46"/>
    </row>
    <row r="11" spans="1:4" ht="15.75">
      <c r="A11" s="23"/>
      <c s="23"/>
      <c s="23"/>
      <c s="23"/>
    </row>
    <row r="12" spans="1:4" ht="15.75">
      <c r="A12" s="23"/>
      <c s="23"/>
      <c s="23"/>
      <c s="23"/>
    </row>
    <row r="13" spans="1:4" ht="15.75">
      <c r="A13" s="1460" t="s">
        <v>33</v>
      </c>
      <c s="1461"/>
      <c s="11"/>
      <c s="24"/>
    </row>
    <row r="14" spans="1:4" ht="15.75">
      <c r="A14" s="1462" t="s">
        <v>62</v>
      </c>
      <c s="1463"/>
      <c s="12"/>
      <c s="25"/>
    </row>
    <row r="15" spans="1:4" ht="15.75">
      <c r="A15" s="1456" t="s">
        <v>162</v>
      </c>
      <c s="1457"/>
      <c s="26" t="e">
        <f>'INGRESOS ACUMULADOS '!#REF!</f>
        <v>#REF!</v>
      </c>
      <c s="25"/>
    </row>
    <row r="16" spans="1:4" ht="15.75">
      <c r="A16" s="1456" t="s">
        <v>163</v>
      </c>
      <c s="1457"/>
      <c s="27">
        <f>'INGRESOS ACUMULADOS '!S73</f>
        <v>243436.875</v>
      </c>
      <c s="27" t="e">
        <f>C15+C16</f>
        <v>#REF!</v>
      </c>
    </row>
    <row r="17" spans="1:4" ht="15.75">
      <c r="A17" s="1456" t="s">
        <v>34</v>
      </c>
      <c s="1457"/>
      <c s="28"/>
      <c s="26" t="e">
        <f>D10</f>
        <v>#REF!</v>
      </c>
    </row>
    <row r="18" spans="1:4" ht="15.75">
      <c r="A18" s="1462" t="s">
        <v>108</v>
      </c>
      <c s="1463"/>
      <c s="28"/>
      <c s="29" t="e">
        <f>D16+D17</f>
        <v>#REF!</v>
      </c>
    </row>
    <row r="19" spans="1:4" ht="149.25" customHeight="1">
      <c r="A19" s="1454"/>
      <c s="1454"/>
      <c s="1454"/>
      <c s="1454"/>
    </row>
    <row r="20" spans="1:4" ht="15.75">
      <c r="A20" s="31" t="s">
        <v>110</v>
      </c>
      <c s="1465" t="s">
        <v>109</v>
      </c>
      <c s="1465"/>
      <c s="1465"/>
    </row>
    <row r="21" spans="1:4" ht="15.75">
      <c r="A21" s="30" t="s">
        <v>111</v>
      </c>
      <c s="1454" t="s">
        <v>8</v>
      </c>
      <c s="1454"/>
      <c s="1454"/>
    </row>
  </sheetData>
  <mergeCells count="14">
    <mergeCell ref="A14:B14"/>
    <mergeCell ref="A19:D19"/>
    <mergeCell ref="B20:D20"/>
    <mergeCell ref="B21:D21"/>
    <mergeCell ref="A15:B15"/>
    <mergeCell ref="A16:B16"/>
    <mergeCell ref="A17:B17"/>
    <mergeCell ref="A18:B18"/>
    <mergeCell ref="A1:D1"/>
    <mergeCell ref="A2:D2"/>
    <mergeCell ref="A3:D3"/>
    <mergeCell ref="A4:D4"/>
    <mergeCell ref="A10:C10"/>
    <mergeCell ref="A13:B13"/>
  </mergeCells>
  <printOptions horizontalCentered="1"/>
  <pageMargins left="0.590551181102362" right="0.590551181102362" top="1.37795275590551" bottom="0.590551181102362" header="0" footer="0"/>
  <pageSetup orientation="portrait" paperSize="9" scale="76" r:id="rId1"/>
  <headerFooter alignWithMargins="0">
    <oddHeader xml:space="preserve">&amp;C&amp;"Arial,Negrita"&amp;24
MINISTERIO DE INTERIOR Y POLICIA 
DIRECCION ADMINISTRATIVA Y  FINANCIERA 
&amp;22DEPARTAMENTO DE TESORERIA 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N23"/>
  <sheetViews>
    <sheetView workbookViewId="0" topLeftCell="A1">
      <selection pane="topLeft" activeCell="G12" sqref="G12"/>
    </sheetView>
  </sheetViews>
  <sheetFormatPr defaultRowHeight="12.75"/>
  <cols>
    <col min="1" max="1" width="8.42857142857143" customWidth="1"/>
    <col min="5" max="5" width="11.4285714285714" customWidth="1"/>
    <col min="6" max="6" width="43.8571428571429" customWidth="1"/>
    <col min="7" max="7" width="14" customWidth="1"/>
    <col min="8" max="8" width="16.1428571428571" customWidth="1"/>
    <col min="9" max="9" width="7.14285714285714" customWidth="1"/>
    <col min="10" max="10" width="14.4285714285714" customWidth="1"/>
    <col min="11" max="11" width="12.8571428571429" bestFit="1" customWidth="1"/>
    <col min="12" max="12" width="16" bestFit="1" customWidth="1"/>
    <col min="13" max="14" width="12.8571428571429" bestFit="1" customWidth="1"/>
  </cols>
  <sheetData>
    <row r="1" spans="1:11" s="2" customFormat="1" ht="15.75">
      <c r="A1" s="37"/>
      <c s="37"/>
      <c s="37"/>
      <c s="37"/>
      <c s="37"/>
      <c s="37"/>
      <c s="37"/>
      <c s="36"/>
      <c s="36"/>
      <c s="79" t="s">
        <v>74</v>
      </c>
      <c s="80"/>
    </row>
    <row r="2" spans="1:10" s="2" customFormat="1" ht="15.75">
      <c r="A2" s="37"/>
      <c s="37"/>
      <c s="37"/>
      <c s="37"/>
      <c s="37"/>
      <c s="37"/>
      <c s="37"/>
      <c s="36"/>
      <c s="36"/>
      <c s="79" t="str">
        <f>+'REGISTRO TRAMITES DEL DIA '!A6</f>
        <v>Del 30 de Noviembre 2024</v>
      </c>
    </row>
    <row r="3" spans="1:10" s="2" customFormat="1" ht="18" customHeight="1">
      <c r="A3" s="37"/>
      <c s="37"/>
      <c s="37"/>
      <c s="37"/>
      <c s="37"/>
      <c s="37"/>
      <c s="37"/>
      <c s="36"/>
      <c s="36"/>
      <c s="79"/>
    </row>
    <row r="4" spans="1:10" s="2" customFormat="1" ht="17.25" customHeight="1">
      <c r="A4" s="37"/>
      <c s="37"/>
      <c s="37"/>
      <c s="37"/>
      <c s="37"/>
      <c s="37"/>
      <c s="37"/>
      <c s="36"/>
      <c s="36"/>
      <c s="81"/>
    </row>
    <row r="5" spans="1:10" s="2" customFormat="1" ht="30.75" customHeight="1">
      <c r="A5" s="37"/>
      <c s="37"/>
      <c s="37"/>
      <c s="37"/>
      <c s="37"/>
      <c s="37"/>
      <c s="37"/>
      <c s="36"/>
      <c s="36"/>
      <c s="81"/>
    </row>
    <row r="6" spans="1:10" s="2" customFormat="1" ht="15.75" customHeight="1">
      <c r="A6" s="35"/>
      <c s="35"/>
      <c s="37"/>
      <c s="37"/>
      <c s="37"/>
      <c s="37"/>
      <c s="37"/>
      <c s="36"/>
      <c s="36"/>
      <c s="81"/>
    </row>
    <row r="7" spans="1:10" s="2" customFormat="1" ht="15" customHeight="1">
      <c r="A7" s="35"/>
      <c s="35"/>
      <c s="37"/>
      <c s="37"/>
      <c s="37"/>
      <c s="37"/>
      <c s="37"/>
      <c s="36"/>
      <c s="36"/>
      <c s="81"/>
    </row>
    <row r="8" spans="1:12" s="2" customFormat="1" ht="16.5" thickBot="1">
      <c r="A8" s="83"/>
      <c s="83"/>
      <c s="83"/>
      <c s="83"/>
      <c s="83"/>
      <c s="83"/>
      <c s="83"/>
      <c s="84"/>
      <c s="84"/>
      <c s="85"/>
      <c r="L8" s="1" t="s">
        <v>60</v>
      </c>
    </row>
    <row r="9" spans="1:13" s="2" customFormat="1" ht="15" customHeight="1" thickBot="1">
      <c r="A9" s="32" t="s">
        <v>35</v>
      </c>
      <c s="32" t="s">
        <v>36</v>
      </c>
      <c s="32"/>
      <c s="32"/>
      <c s="32"/>
      <c s="32" t="s">
        <v>190</v>
      </c>
      <c s="33" t="s">
        <v>10</v>
      </c>
      <c s="33" t="s">
        <v>37</v>
      </c>
      <c s="33"/>
      <c s="34" t="s">
        <v>11</v>
      </c>
      <c s="1" t="s">
        <v>192</v>
      </c>
      <c r="M9" s="275"/>
    </row>
    <row r="10" spans="1:12" s="2" customFormat="1" ht="15.75">
      <c r="A10" s="48"/>
      <c s="35"/>
      <c s="290"/>
      <c s="290"/>
      <c s="290"/>
      <c s="290"/>
      <c s="302"/>
      <c s="36"/>
      <c s="36"/>
      <c s="38"/>
      <c r="L10" s="273"/>
    </row>
    <row r="11" spans="1:12" s="2" customFormat="1" ht="15.75">
      <c r="A11" s="48" t="s">
        <v>235</v>
      </c>
      <c s="35" t="s">
        <v>236</v>
      </c>
      <c s="290"/>
      <c s="290"/>
      <c s="290"/>
      <c s="290"/>
      <c s="302">
        <v>0</v>
      </c>
      <c s="36">
        <v>50</v>
      </c>
      <c s="36"/>
      <c s="38">
        <f>G11*H11</f>
        <v>0</v>
      </c>
      <c r="L11" s="273"/>
    </row>
    <row r="12" spans="1:12" s="2" customFormat="1" ht="15.75">
      <c r="A12" s="48"/>
      <c s="35"/>
      <c s="290"/>
      <c s="290"/>
      <c s="290"/>
      <c s="290"/>
      <c s="302"/>
      <c s="36">
        <v>0</v>
      </c>
      <c s="36"/>
      <c s="38">
        <f>G12*H12</f>
        <v>0</v>
      </c>
      <c r="L12" s="273"/>
    </row>
    <row r="13" spans="1:12" s="2" customFormat="1" ht="16.5" thickBot="1">
      <c r="A13" s="48"/>
      <c s="35"/>
      <c s="290"/>
      <c s="290"/>
      <c s="290"/>
      <c s="290"/>
      <c s="115">
        <f>SUM(G10:G12)</f>
        <v>0</v>
      </c>
      <c s="36"/>
      <c s="36"/>
      <c s="38">
        <f>G13*H13</f>
        <v>0</v>
      </c>
      <c r="L13" s="273"/>
    </row>
    <row r="14" spans="1:14" s="2" customFormat="1" ht="18.75" customHeight="1" thickTop="1">
      <c r="A14" s="82" t="s">
        <v>101</v>
      </c>
      <c s="290"/>
      <c s="82"/>
      <c s="82"/>
      <c s="82"/>
      <c s="82" t="s">
        <v>201</v>
      </c>
      <c s="82"/>
      <c s="82"/>
      <c s="293"/>
      <c s="153">
        <f>SUM(J10:J13)</f>
        <v>0</v>
      </c>
      <c r="L14" s="308"/>
      <c s="308"/>
      <c s="308"/>
    </row>
    <row r="15" spans="1:12" s="2" customFormat="1" ht="18" customHeight="1">
      <c r="A15" s="296" t="e">
        <f>#REF!+#REF!</f>
        <v>#REF!</v>
      </c>
      <c s="82"/>
      <c s="291"/>
      <c s="291"/>
      <c s="291"/>
      <c s="291"/>
      <c s="291"/>
      <c s="291"/>
      <c s="292"/>
      <c s="277" t="e">
        <f>+#REF!</f>
        <v>#REF!</v>
      </c>
      <c s="273"/>
      <c s="308"/>
    </row>
    <row r="16" spans="1:12" s="2" customFormat="1" ht="19.5" customHeight="1">
      <c r="A16" s="291" t="s">
        <v>60</v>
      </c>
      <c s="291"/>
      <c s="291"/>
      <c s="291"/>
      <c s="291"/>
      <c s="291"/>
      <c s="291"/>
      <c s="291"/>
      <c s="292"/>
      <c s="277" t="e">
        <f>+J14-J15</f>
        <v>#REF!</v>
      </c>
      <c s="273"/>
      <c s="273"/>
    </row>
    <row r="17" spans="1:12" s="2" customFormat="1" ht="24.75" customHeight="1" thickBot="1">
      <c r="A17" s="82" t="s">
        <v>184</v>
      </c>
      <c s="291"/>
      <c s="82"/>
      <c s="82"/>
      <c s="82"/>
      <c s="82"/>
      <c s="82"/>
      <c s="82" t="s">
        <v>60</v>
      </c>
      <c s="293"/>
      <c s="303">
        <f>J14</f>
        <v>0</v>
      </c>
      <c r="L17" s="308"/>
    </row>
    <row r="18" spans="1:10" s="2" customFormat="1" ht="61.5" customHeight="1" thickTop="1">
      <c r="A18" s="5"/>
      <c s="82"/>
      <c s="5"/>
      <c s="5"/>
      <c s="5" t="s">
        <v>190</v>
      </c>
      <c s="5"/>
      <c s="5"/>
      <c s="5" t="s">
        <v>60</v>
      </c>
      <c s="5" t="s">
        <v>190</v>
      </c>
      <c s="183"/>
    </row>
    <row r="19" spans="1:10" ht="15.75">
      <c r="A19" s="54"/>
      <c s="5"/>
      <c s="54"/>
      <c s="54"/>
      <c s="54"/>
      <c s="54"/>
      <c s="54"/>
      <c s="54"/>
      <c s="54"/>
      <c s="54"/>
    </row>
    <row r="20" spans="1:10" ht="15.75">
      <c r="A20" s="1466" t="s">
        <v>110</v>
      </c>
      <c s="1466"/>
      <c s="1466"/>
      <c s="1466"/>
      <c s="86"/>
      <c s="86"/>
      <c s="1466" t="s">
        <v>220</v>
      </c>
      <c s="1466"/>
      <c s="1466"/>
      <c s="1466"/>
    </row>
    <row r="21" spans="1:10" ht="15.75">
      <c r="A21" s="1467" t="s">
        <v>111</v>
      </c>
      <c s="1467"/>
      <c s="1467"/>
      <c s="1467"/>
      <c s="87"/>
      <c s="87"/>
      <c s="1467" t="s">
        <v>56</v>
      </c>
      <c s="1467"/>
      <c s="1467"/>
      <c s="1467"/>
    </row>
    <row r="22" spans="1:10" ht="15.75">
      <c r="A22" s="36"/>
      <c s="36"/>
      <c s="36"/>
      <c s="36"/>
      <c s="87"/>
      <c s="87"/>
      <c s="36"/>
      <c s="36"/>
      <c s="36"/>
      <c s="36"/>
    </row>
    <row r="23" spans="1:10" ht="15.75">
      <c r="A23" s="36"/>
      <c s="36"/>
      <c s="36"/>
      <c s="36"/>
      <c s="87"/>
      <c s="87"/>
      <c s="1467"/>
      <c s="1467"/>
      <c s="1467"/>
      <c s="1467"/>
    </row>
  </sheetData>
  <mergeCells count="5">
    <mergeCell ref="A20:D20"/>
    <mergeCell ref="G20:J20"/>
    <mergeCell ref="A21:D21"/>
    <mergeCell ref="G21:J21"/>
    <mergeCell ref="G23:J23"/>
  </mergeCells>
  <pageMargins left="0.7" right="0.7" top="0.75" bottom="0.7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AD108"/>
  <sheetViews>
    <sheetView workbookViewId="0" topLeftCell="A67">
      <selection pane="topLeft" activeCell="E100" sqref="E100"/>
    </sheetView>
  </sheetViews>
  <sheetFormatPr defaultRowHeight="12.75"/>
  <cols>
    <col min="1" max="1" width="8.14285714285714" style="154" customWidth="1"/>
    <col min="2" max="2" width="13.5714285714286" style="154" customWidth="1"/>
    <col min="3" max="3" width="12.8571428571429" style="154" customWidth="1"/>
    <col min="4" max="4" width="13.1428571428571" style="154" customWidth="1"/>
    <col min="5" max="5" width="74" style="154" customWidth="1"/>
    <col min="6" max="6" width="14.7142857142857" style="154" customWidth="1"/>
    <col min="7" max="7" width="23.4285714285714" style="154" customWidth="1"/>
    <col min="8" max="8" width="0.571428571428571" style="154" hidden="1" customWidth="1"/>
    <col min="9" max="9" width="30" style="154" customWidth="1"/>
    <col min="10" max="10" width="19.5714285714286" style="154" customWidth="1"/>
    <col min="11" max="11" width="36" style="154" customWidth="1"/>
    <col min="12" max="12" width="0.571428571428571" style="154" customWidth="1"/>
    <col min="13" max="13" width="31.2857142857143" style="154" customWidth="1"/>
    <col min="14" max="14" width="0.857142857142857" style="154" customWidth="1"/>
    <col min="15" max="15" width="40.2857142857143" style="154" customWidth="1"/>
    <col min="16" max="16" width="31.5714285714286" style="154" customWidth="1"/>
    <col min="17" max="17" width="34.2857142857143" style="154" customWidth="1"/>
    <col min="18" max="18" width="27.1428571428571" style="154" customWidth="1"/>
    <col min="19" max="19" width="22.4285714285714" style="154" customWidth="1"/>
    <col min="20" max="20" width="36.4285714285714" style="154" customWidth="1"/>
    <col min="21" max="21" width="11.4285714285714" style="154"/>
    <col min="22" max="22" width="68.4285714285714" style="154" customWidth="1"/>
    <col min="23" max="23" width="20.4285714285714" style="154" customWidth="1"/>
    <col min="24" max="24" width="19.4285714285714" style="154" customWidth="1"/>
    <col min="25" max="16384" width="11.4285714285714" style="154"/>
  </cols>
  <sheetData>
    <row r="1" spans="1:20" ht="54" customHeight="1">
      <c r="A1" s="324" t="s">
        <v>60</v>
      </c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</row>
    <row r="2" spans="1:20" ht="30">
      <c r="A2" s="1468" t="s">
        <v>58</v>
      </c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</row>
    <row r="3" spans="1:20" ht="26.25">
      <c r="A3" s="1469" t="s">
        <v>374</v>
      </c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</row>
    <row r="4" spans="1:20" ht="26.25">
      <c r="A4" s="1469" t="s">
        <v>365</v>
      </c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</row>
    <row r="5" spans="1:20" ht="20.25">
      <c r="A5" s="1470" t="str">
        <f>'REGISTRO TRAMITES DEL DIA '!A4:J4</f>
        <v>Reportes de los Ingresos según Ley No. 36 y Resolución No. 02-05; 02-06 de los Cobros BanReservas , Caja General y SIRITE al 30/11/2024</v>
      </c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</row>
    <row r="6" spans="1:20" ht="20.25">
      <c r="A6" s="1470" t="s">
        <v>375</v>
      </c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</row>
    <row r="7" spans="1:19" ht="17.25" customHeight="1" thickBot="1">
      <c r="A7" s="1471"/>
      <c s="1471"/>
      <c s="1471"/>
      <c s="1471"/>
      <c s="1471"/>
      <c s="1471"/>
      <c s="1471"/>
      <c s="1471"/>
      <c s="1471"/>
      <c s="1471"/>
      <c s="1471"/>
      <c s="1471"/>
      <c s="1471"/>
      <c r="P7" s="1472"/>
      <c s="1472"/>
      <c s="1472"/>
      <c s="1472"/>
    </row>
    <row r="8" spans="1:20" ht="62.25" customHeight="1" thickBot="1">
      <c r="A8" s="1473" t="s">
        <v>38</v>
      </c>
      <c s="1475" t="s">
        <v>277</v>
      </c>
      <c s="1363" t="s">
        <v>276</v>
      </c>
      <c s="1363" t="s">
        <v>307</v>
      </c>
      <c s="370"/>
      <c s="370"/>
      <c s="370"/>
      <c s="369"/>
      <c s="1477" t="s">
        <v>168</v>
      </c>
      <c s="1478"/>
      <c s="1479"/>
      <c s="373"/>
      <c s="371" t="s">
        <v>282</v>
      </c>
      <c s="321"/>
      <c s="372" t="s">
        <v>309</v>
      </c>
      <c s="1477" t="s">
        <v>308</v>
      </c>
      <c s="1478"/>
      <c s="1478"/>
      <c s="1478"/>
      <c s="1481" t="s">
        <v>160</v>
      </c>
    </row>
    <row r="9" spans="1:20" ht="71.25" customHeight="1" thickBot="1">
      <c r="A9" s="1474"/>
      <c s="1476"/>
      <c s="1364"/>
      <c s="1364"/>
      <c s="396" t="s">
        <v>40</v>
      </c>
      <c s="401" t="s">
        <v>157</v>
      </c>
      <c s="404" t="s">
        <v>186</v>
      </c>
      <c s="422"/>
      <c s="368" t="s">
        <v>278</v>
      </c>
      <c s="368" t="s">
        <v>279</v>
      </c>
      <c s="368" t="s">
        <v>280</v>
      </c>
      <c s="366"/>
      <c s="368" t="s">
        <v>281</v>
      </c>
      <c s="366"/>
      <c s="368" t="s">
        <v>172</v>
      </c>
      <c s="368" t="s">
        <v>281</v>
      </c>
      <c s="368" t="s">
        <v>278</v>
      </c>
      <c s="368" t="s">
        <v>279</v>
      </c>
      <c s="374" t="s">
        <v>247</v>
      </c>
      <c s="1482"/>
    </row>
    <row r="10" spans="1:20" s="177" customFormat="1" ht="30" customHeight="1" thickBot="1">
      <c r="A10" s="323" t="s">
        <v>42</v>
      </c>
      <c s="320">
        <f>'REGISTRO TRAMITES DEL DIA '!B16</f>
        <v>21</v>
      </c>
      <c s="320">
        <v>0</v>
      </c>
      <c s="320" t="e">
        <f>'INGRESOS ACUMULADOS '!#REF!</f>
        <v>#REF!</v>
      </c>
      <c s="397" t="s">
        <v>0</v>
      </c>
      <c s="402">
        <v>6240</v>
      </c>
      <c s="187">
        <f>B10*F10</f>
        <v>131040</v>
      </c>
      <c s="245"/>
      <c s="185">
        <f>B10*2200</f>
        <v>46200</v>
      </c>
      <c s="185">
        <f>B10*800</f>
        <v>16800</v>
      </c>
      <c s="185">
        <f>G10-I10-J10</f>
        <v>68040</v>
      </c>
      <c s="245"/>
      <c s="185"/>
      <c s="245"/>
      <c s="322" t="e">
        <f>D10*F10</f>
        <v>#REF!</v>
      </c>
      <c s="319" t="e">
        <f>#N/A</f>
        <v>#N/A</v>
      </c>
      <c s="185" t="e">
        <f>D10*2200</f>
        <v>#REF!</v>
      </c>
      <c s="185" t="e">
        <f>D10*800</f>
        <v>#REF!</v>
      </c>
      <c s="185" t="e">
        <f>#N/A</f>
        <v>#N/A</v>
      </c>
      <c s="426" t="e">
        <f>#N/A</f>
        <v>#N/A</v>
      </c>
    </row>
    <row r="11" spans="1:20" s="177" customFormat="1" ht="30" customHeight="1" thickBot="1">
      <c r="A11" s="323" t="s">
        <v>43</v>
      </c>
      <c s="320">
        <f>'REGISTRO TRAMITES DEL DIA '!C16</f>
        <v>97</v>
      </c>
      <c s="320">
        <v>0</v>
      </c>
      <c s="320" t="e">
        <f>'INGRESOS ACUMULADOS '!#REF!</f>
        <v>#REF!</v>
      </c>
      <c s="398" t="s">
        <v>176</v>
      </c>
      <c s="402">
        <v>11240</v>
      </c>
      <c s="189">
        <f>B11*F11</f>
        <v>1090280</v>
      </c>
      <c s="245"/>
      <c s="185">
        <f>B11*2200</f>
        <v>213400</v>
      </c>
      <c s="185">
        <f>B11*800</f>
        <v>77600</v>
      </c>
      <c s="185" t="e">
        <f>#N/A</f>
        <v>#N/A</v>
      </c>
      <c s="245"/>
      <c s="185"/>
      <c s="245"/>
      <c s="322" t="e">
        <f>#N/A</f>
        <v>#N/A</v>
      </c>
      <c s="319" t="e">
        <f>#N/A</f>
        <v>#N/A</v>
      </c>
      <c s="185" t="e">
        <f>D11*2200</f>
        <v>#REF!</v>
      </c>
      <c s="185" t="e">
        <f>D11*800</f>
        <v>#REF!</v>
      </c>
      <c s="185" t="e">
        <f>#N/A</f>
        <v>#N/A</v>
      </c>
      <c s="426" t="e">
        <f>#N/A</f>
        <v>#N/A</v>
      </c>
    </row>
    <row r="12" spans="1:20" s="177" customFormat="1" ht="30" customHeight="1" thickBot="1">
      <c r="A12" s="323" t="s">
        <v>45</v>
      </c>
      <c s="320">
        <f>'REGISTRO TRAMITES DEL DIA '!D16</f>
        <v>4830</v>
      </c>
      <c s="320">
        <v>0</v>
      </c>
      <c s="320" t="e">
        <f>'INGRESOS ACUMULADOS '!#REF!</f>
        <v>#REF!</v>
      </c>
      <c s="398" t="s">
        <v>177</v>
      </c>
      <c s="402">
        <v>4940</v>
      </c>
      <c s="189" t="e">
        <f>#N/A</f>
        <v>#N/A</v>
      </c>
      <c s="245"/>
      <c s="185">
        <f>B12*2200</f>
        <v>10626000</v>
      </c>
      <c s="185"/>
      <c s="185" t="e">
        <f>#N/A</f>
        <v>#N/A</v>
      </c>
      <c s="245"/>
      <c s="185"/>
      <c s="245"/>
      <c s="322" t="e">
        <f>#N/A</f>
        <v>#N/A</v>
      </c>
      <c s="319" t="e">
        <f>#N/A</f>
        <v>#N/A</v>
      </c>
      <c s="185" t="e">
        <f>D12*2200</f>
        <v>#REF!</v>
      </c>
      <c s="185"/>
      <c s="185" t="e">
        <f>#N/A</f>
        <v>#N/A</v>
      </c>
      <c s="426" t="e">
        <f>#N/A</f>
        <v>#N/A</v>
      </c>
    </row>
    <row r="13" spans="1:20" s="177" customFormat="1" ht="55.5" customHeight="1" thickBot="1">
      <c r="A13" s="323" t="s">
        <v>47</v>
      </c>
      <c s="320">
        <f>'REGISTRO TRAMITES DEL DIA '!E16</f>
        <v>0</v>
      </c>
      <c s="320">
        <v>0</v>
      </c>
      <c s="320" t="e">
        <f>'INGRESOS ACUMULADOS '!#REF!</f>
        <v>#REF!</v>
      </c>
      <c s="398" t="s">
        <v>178</v>
      </c>
      <c s="402">
        <v>4615</v>
      </c>
      <c s="189" t="e">
        <f>#N/A</f>
        <v>#N/A</v>
      </c>
      <c s="245"/>
      <c s="185">
        <f>B13*2075</f>
        <v>0</v>
      </c>
      <c s="185">
        <f>B13*800</f>
        <v>0</v>
      </c>
      <c s="185" t="e">
        <f>#N/A</f>
        <v>#N/A</v>
      </c>
      <c s="245"/>
      <c s="185"/>
      <c s="245"/>
      <c s="322" t="e">
        <f>#N/A</f>
        <v>#N/A</v>
      </c>
      <c s="319" t="e">
        <f>#N/A</f>
        <v>#N/A</v>
      </c>
      <c s="185" t="e">
        <f>+D13*2075</f>
        <v>#REF!</v>
      </c>
      <c s="185"/>
      <c s="185" t="e">
        <f>#N/A</f>
        <v>#N/A</v>
      </c>
      <c s="426" t="e">
        <f>#N/A</f>
        <v>#N/A</v>
      </c>
    </row>
    <row r="14" spans="1:20" s="177" customFormat="1" ht="42.75" customHeight="1" thickBot="1">
      <c r="A14" s="323" t="s">
        <v>49</v>
      </c>
      <c s="320">
        <f>'REGISTRO TRAMITES DEL DIA '!G16</f>
        <v>1</v>
      </c>
      <c s="320">
        <v>0</v>
      </c>
      <c s="320" t="e">
        <f>'INGRESOS ACUMULADOS '!#REF!</f>
        <v>#REF!</v>
      </c>
      <c s="398" t="s">
        <v>179</v>
      </c>
      <c s="402">
        <v>2840</v>
      </c>
      <c s="189" t="e">
        <f>#N/A</f>
        <v>#N/A</v>
      </c>
      <c s="245"/>
      <c s="185"/>
      <c s="185">
        <f>B14*800</f>
        <v>800</v>
      </c>
      <c s="185" t="e">
        <f>#N/A</f>
        <v>#N/A</v>
      </c>
      <c s="245"/>
      <c s="185"/>
      <c s="245"/>
      <c s="322" t="e">
        <f>#N/A</f>
        <v>#N/A</v>
      </c>
      <c s="319" t="e">
        <f>#N/A</f>
        <v>#N/A</v>
      </c>
      <c s="185"/>
      <c s="184"/>
      <c s="185" t="e">
        <f>#N/A</f>
        <v>#N/A</v>
      </c>
      <c s="426" t="e">
        <f>#N/A</f>
        <v>#N/A</v>
      </c>
    </row>
    <row r="15" spans="1:20" s="177" customFormat="1" ht="30" customHeight="1" thickBot="1">
      <c r="A15" s="323" t="s">
        <v>51</v>
      </c>
      <c s="320">
        <f>'REGISTRO TRAMITES DEL DIA '!H16</f>
        <v>19</v>
      </c>
      <c s="320">
        <v>0</v>
      </c>
      <c s="320" t="e">
        <f>'INGRESOS ACUMULADOS '!#REF!</f>
        <v>#REF!</v>
      </c>
      <c s="398" t="s">
        <v>1</v>
      </c>
      <c s="402">
        <v>500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#N/A</f>
        <v>#N/A</v>
      </c>
      <c s="185"/>
      <c s="185"/>
      <c s="185" t="e">
        <f>#N/A</f>
        <v>#N/A</v>
      </c>
      <c s="426" t="e">
        <f>#N/A</f>
        <v>#N/A</v>
      </c>
    </row>
    <row r="16" spans="1:20" s="177" customFormat="1" ht="39" customHeight="1" thickBot="1">
      <c r="A16" s="323" t="s">
        <v>52</v>
      </c>
      <c s="320">
        <f>'REGISTRO TRAMITES DEL DIA '!F16</f>
        <v>0</v>
      </c>
      <c s="320">
        <v>0</v>
      </c>
      <c s="320" t="e">
        <f>'INGRESOS ACUMULADOS '!#REF!</f>
        <v>#REF!</v>
      </c>
      <c s="398" t="s">
        <v>180</v>
      </c>
      <c s="402">
        <v>2840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#N/A</f>
        <v>#N/A</v>
      </c>
      <c s="185"/>
      <c s="185"/>
      <c s="185" t="e">
        <f>#N/A</f>
        <v>#N/A</v>
      </c>
      <c s="426" t="e">
        <f>#N/A</f>
        <v>#N/A</v>
      </c>
    </row>
    <row r="17" spans="1:20" s="177" customFormat="1" ht="30" customHeight="1" thickBot="1">
      <c r="A17" s="323" t="s">
        <v>54</v>
      </c>
      <c s="320">
        <f>'REGISTRO TRAMITES DEL DIA '!I16</f>
        <v>66</v>
      </c>
      <c s="320">
        <v>0</v>
      </c>
      <c s="320" t="e">
        <f>'INGRESOS ACUMULADOS '!#REF!</f>
        <v>#REF!</v>
      </c>
      <c s="398" t="s">
        <v>3</v>
      </c>
      <c s="402">
        <v>700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#N/A</f>
        <v>#N/A</v>
      </c>
      <c s="185"/>
      <c s="185"/>
      <c s="185" t="e">
        <f>#N/A</f>
        <v>#N/A</v>
      </c>
      <c s="426" t="e">
        <f>#N/A</f>
        <v>#N/A</v>
      </c>
    </row>
    <row r="18" spans="1:20" s="177" customFormat="1" ht="30" customHeight="1" thickBot="1">
      <c r="A18" s="323" t="s">
        <v>55</v>
      </c>
      <c s="320">
        <f>'REGISTRO TRAMITES DEL DIA '!J16</f>
        <v>4338</v>
      </c>
      <c s="320">
        <v>0</v>
      </c>
      <c s="320" t="e">
        <f>'INGRESOS ACUMULADOS '!#REF!</f>
        <v>#REF!</v>
      </c>
      <c s="399" t="s">
        <v>138</v>
      </c>
      <c s="402">
        <v>700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#N/A</f>
        <v>#N/A</v>
      </c>
      <c s="185"/>
      <c s="185"/>
      <c s="185" t="e">
        <f>#N/A</f>
        <v>#N/A</v>
      </c>
      <c s="426" t="e">
        <f>#N/A</f>
        <v>#N/A</v>
      </c>
    </row>
    <row r="19" spans="1:20" s="1" customFormat="1" ht="30" customHeight="1" thickBot="1">
      <c r="A19" s="323" t="s">
        <v>133</v>
      </c>
      <c s="320">
        <f>'REGISTRO TRAMITES DEL DIA '!K16</f>
        <v>2</v>
      </c>
      <c s="320">
        <v>0</v>
      </c>
      <c s="320" t="e">
        <f>'INGRESOS ACUMULADOS '!#REF!</f>
        <v>#REF!</v>
      </c>
      <c s="399" t="s">
        <v>139</v>
      </c>
      <c s="403">
        <v>4615</v>
      </c>
      <c s="189" t="e">
        <f>#N/A</f>
        <v>#N/A</v>
      </c>
      <c s="245"/>
      <c s="185">
        <f>B19*2075</f>
        <v>4150</v>
      </c>
      <c s="185">
        <f>B19*800</f>
        <v>1600</v>
      </c>
      <c s="185" t="e">
        <f>#N/A</f>
        <v>#N/A</v>
      </c>
      <c s="245"/>
      <c s="285"/>
      <c s="321"/>
      <c s="322" t="e">
        <f>#N/A</f>
        <v>#N/A</v>
      </c>
      <c s="319" t="e">
        <f>#N/A</f>
        <v>#N/A</v>
      </c>
      <c s="185" t="e">
        <f>D19*2075</f>
        <v>#REF!</v>
      </c>
      <c s="185" t="e">
        <f>D19*800</f>
        <v>#REF!</v>
      </c>
      <c s="185" t="e">
        <f>#N/A</f>
        <v>#N/A</v>
      </c>
      <c s="426" t="e">
        <f>#N/A</f>
        <v>#N/A</v>
      </c>
    </row>
    <row r="20" spans="1:20" s="1" customFormat="1" ht="30" customHeight="1" thickBot="1">
      <c r="A20" s="323" t="s">
        <v>134</v>
      </c>
      <c s="320">
        <f>'REGISTRO TRAMITES DEL DIA '!L16</f>
        <v>32</v>
      </c>
      <c s="320">
        <v>0</v>
      </c>
      <c s="320" t="e">
        <f>'INGRESOS ACUMULADOS '!#REF!</f>
        <v>#REF!</v>
      </c>
      <c s="399" t="s">
        <v>140</v>
      </c>
      <c s="403">
        <v>4615</v>
      </c>
      <c s="189" t="e">
        <f>#N/A</f>
        <v>#N/A</v>
      </c>
      <c s="245"/>
      <c s="185">
        <f>B20*2075</f>
        <v>66400</v>
      </c>
      <c s="185">
        <f>B20*800</f>
        <v>25600</v>
      </c>
      <c s="185" t="e">
        <f>#N/A</f>
        <v>#N/A</v>
      </c>
      <c s="245"/>
      <c s="285"/>
      <c s="321"/>
      <c s="322" t="e">
        <f>#N/A</f>
        <v>#N/A</v>
      </c>
      <c s="319" t="e">
        <f>#N/A</f>
        <v>#N/A</v>
      </c>
      <c s="185" t="e">
        <f>D20*2075</f>
        <v>#REF!</v>
      </c>
      <c s="185" t="e">
        <f>D20*800</f>
        <v>#REF!</v>
      </c>
      <c s="185" t="e">
        <f>#N/A</f>
        <v>#N/A</v>
      </c>
      <c s="426" t="e">
        <f>#N/A</f>
        <v>#N/A</v>
      </c>
    </row>
    <row r="21" spans="1:20" s="1" customFormat="1" ht="30" customHeight="1" thickBot="1">
      <c r="A21" s="323" t="s">
        <v>135</v>
      </c>
      <c s="320">
        <f>'REGISTRO TRAMITES DEL DIA '!M16</f>
        <v>13</v>
      </c>
      <c s="320">
        <v>0</v>
      </c>
      <c s="320" t="e">
        <f>'INGRESOS ACUMULADOS '!#REF!</f>
        <v>#REF!</v>
      </c>
      <c s="399" t="s">
        <v>141</v>
      </c>
      <c s="403">
        <v>4615</v>
      </c>
      <c s="189" t="e">
        <f>#N/A</f>
        <v>#N/A</v>
      </c>
      <c s="245"/>
      <c s="185">
        <f>B21*2075</f>
        <v>26975</v>
      </c>
      <c s="185">
        <f>B21*800</f>
        <v>10400</v>
      </c>
      <c s="185" t="e">
        <f>#N/A</f>
        <v>#N/A</v>
      </c>
      <c s="245"/>
      <c s="285"/>
      <c s="321"/>
      <c s="322" t="e">
        <f>#N/A</f>
        <v>#N/A</v>
      </c>
      <c s="319" t="e">
        <f>#N/A</f>
        <v>#N/A</v>
      </c>
      <c s="185" t="e">
        <f>D21*2075</f>
        <v>#REF!</v>
      </c>
      <c s="185" t="e">
        <f>D21*800</f>
        <v>#REF!</v>
      </c>
      <c s="185" t="e">
        <f>#N/A</f>
        <v>#N/A</v>
      </c>
      <c s="426" t="e">
        <f>#N/A</f>
        <v>#N/A</v>
      </c>
    </row>
    <row r="22" spans="1:20" s="1" customFormat="1" ht="30" customHeight="1" thickBot="1">
      <c r="A22" s="323" t="s">
        <v>136</v>
      </c>
      <c s="320">
        <f>'REGISTRO TRAMITES DEL DIA '!N16</f>
        <v>69</v>
      </c>
      <c s="320">
        <v>0</v>
      </c>
      <c s="320" t="e">
        <f>'INGRESOS ACUMULADOS '!#REF!</f>
        <v>#REF!</v>
      </c>
      <c s="399" t="s">
        <v>142</v>
      </c>
      <c s="403">
        <v>700</v>
      </c>
      <c s="189" t="e">
        <f>#N/A</f>
        <v>#N/A</v>
      </c>
      <c s="245"/>
      <c s="185"/>
      <c s="185"/>
      <c s="185" t="e">
        <f>#N/A</f>
        <v>#N/A</v>
      </c>
      <c s="245"/>
      <c s="285"/>
      <c s="321"/>
      <c s="322" t="e">
        <f>#N/A</f>
        <v>#N/A</v>
      </c>
      <c s="319" t="e">
        <f>#N/A</f>
        <v>#N/A</v>
      </c>
      <c s="185"/>
      <c s="185"/>
      <c s="185" t="e">
        <f>#N/A</f>
        <v>#N/A</v>
      </c>
      <c s="426" t="e">
        <f>#N/A</f>
        <v>#N/A</v>
      </c>
    </row>
    <row r="23" spans="1:20" s="1" customFormat="1" ht="30" customHeight="1" thickBot="1">
      <c r="A23" s="323" t="s">
        <v>137</v>
      </c>
      <c s="320">
        <f>'REGISTRO TRAMITES DEL DIA '!O16</f>
        <v>0</v>
      </c>
      <c s="320">
        <v>0</v>
      </c>
      <c s="320" t="e">
        <f>'INGRESOS ACUMULADOS '!#REF!</f>
        <v>#REF!</v>
      </c>
      <c s="399" t="s">
        <v>143</v>
      </c>
      <c s="403">
        <v>6240</v>
      </c>
      <c s="189" t="e">
        <f>#N/A</f>
        <v>#N/A</v>
      </c>
      <c s="245"/>
      <c s="185">
        <f>B23*2200</f>
        <v>0</v>
      </c>
      <c s="185">
        <f>B23*800</f>
        <v>0</v>
      </c>
      <c s="185" t="e">
        <f>#N/A</f>
        <v>#N/A</v>
      </c>
      <c s="245"/>
      <c s="285"/>
      <c s="321"/>
      <c s="322" t="e">
        <f>#N/A</f>
        <v>#N/A</v>
      </c>
      <c s="319" t="e">
        <f>#N/A</f>
        <v>#N/A</v>
      </c>
      <c s="185" t="e">
        <f>D23*2200</f>
        <v>#REF!</v>
      </c>
      <c s="185"/>
      <c s="185" t="e">
        <f>#N/A</f>
        <v>#N/A</v>
      </c>
      <c s="426" t="e">
        <f>#N/A</f>
        <v>#N/A</v>
      </c>
    </row>
    <row r="24" spans="1:20" s="1" customFormat="1" ht="30" customHeight="1" thickBot="1">
      <c r="A24" s="323" t="s">
        <v>244</v>
      </c>
      <c s="320">
        <v>0</v>
      </c>
      <c s="320">
        <v>0</v>
      </c>
      <c s="320" t="e">
        <f>'INGRESOS ACUMULADOS '!#REF!</f>
        <v>#REF!</v>
      </c>
      <c s="399" t="s">
        <v>245</v>
      </c>
      <c s="403">
        <v>105</v>
      </c>
      <c s="189"/>
      <c s="245"/>
      <c s="185"/>
      <c s="185"/>
      <c s="185"/>
      <c s="245"/>
      <c s="285"/>
      <c s="321"/>
      <c s="322" t="e">
        <f>#N/A</f>
        <v>#N/A</v>
      </c>
      <c s="319" t="e">
        <f>#N/A</f>
        <v>#N/A</v>
      </c>
      <c s="185"/>
      <c s="185"/>
      <c s="185" t="e">
        <f>#N/A</f>
        <v>#N/A</v>
      </c>
      <c s="426" t="e">
        <f>#N/A</f>
        <v>#N/A</v>
      </c>
    </row>
    <row r="25" spans="1:20" s="1" customFormat="1" ht="39" customHeight="1" thickBot="1">
      <c r="A25" s="387" t="s">
        <v>248</v>
      </c>
      <c s="343">
        <v>0</v>
      </c>
      <c s="343" t="e">
        <f>'INGRESOS ACUMULADOS '!#REF!</f>
        <v>#REF!</v>
      </c>
      <c s="343" t="e">
        <f>'INGRESOS ACUMULADOS '!#REF!</f>
        <v>#REF!</v>
      </c>
      <c s="347" t="s">
        <v>249</v>
      </c>
      <c s="348" t="e">
        <f>'INGRESOS ACUMULADOS '!#REF!</f>
        <v>#REF!</v>
      </c>
      <c s="352"/>
      <c s="341"/>
      <c s="349"/>
      <c s="349"/>
      <c s="349"/>
      <c s="341"/>
      <c s="349" t="e">
        <f>C25*F25</f>
        <v>#REF!</v>
      </c>
      <c s="342"/>
      <c s="322" t="e">
        <f>#N/A</f>
        <v>#N/A</v>
      </c>
      <c s="319" t="e">
        <f>#N/A</f>
        <v>#N/A</v>
      </c>
      <c s="185"/>
      <c s="354">
        <v>0</v>
      </c>
      <c s="185"/>
      <c s="426" t="e">
        <f>#N/A</f>
        <v>#N/A</v>
      </c>
    </row>
    <row r="26" spans="1:20" s="1" customFormat="1" ht="30" customHeight="1" thickBot="1">
      <c r="A26" s="388" t="s">
        <v>250</v>
      </c>
      <c s="344">
        <v>0</v>
      </c>
      <c s="343" t="e">
        <f>'INGRESOS ACUMULADOS '!#REF!</f>
        <v>#REF!</v>
      </c>
      <c s="343" t="e">
        <f>'INGRESOS ACUMULADOS '!#REF!</f>
        <v>#REF!</v>
      </c>
      <c s="345" t="s">
        <v>251</v>
      </c>
      <c s="348" t="e">
        <f>'INGRESOS ACUMULADOS '!#REF!</f>
        <v>#REF!</v>
      </c>
      <c s="350" t="e">
        <f>B26*F26</f>
        <v>#REF!</v>
      </c>
      <c s="341"/>
      <c s="351">
        <f>B26*2200</f>
        <v>0</v>
      </c>
      <c s="351">
        <f>B26*800</f>
        <v>0</v>
      </c>
      <c s="351" t="e">
        <f>G26-I26-J26</f>
        <v>#REF!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51">
        <v>0</v>
      </c>
      <c s="185"/>
      <c s="426" t="e">
        <f>#N/A</f>
        <v>#N/A</v>
      </c>
    </row>
    <row r="27" spans="1:20" s="1" customFormat="1" ht="30" customHeight="1" thickBot="1">
      <c r="A27" s="388" t="s">
        <v>252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253</v>
      </c>
      <c s="348" t="e">
        <f>'INGRESOS ACUMULADOS '!#REF!</f>
        <v>#REF!</v>
      </c>
      <c s="352" t="e">
        <f>#N/A</f>
        <v>#N/A</v>
      </c>
      <c s="341"/>
      <c s="349">
        <f>B27*2200</f>
        <v>0</v>
      </c>
      <c s="349">
        <f>B27*800</f>
        <v>0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28" spans="1:20" s="1" customFormat="1" ht="30" customHeight="1" thickBot="1">
      <c r="A28" s="388" t="s">
        <v>314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315</v>
      </c>
      <c s="348" t="e">
        <f>'INGRESOS ACUMULADOS '!#REF!</f>
        <v>#REF!</v>
      </c>
      <c s="352"/>
      <c s="341"/>
      <c s="349"/>
      <c s="349"/>
      <c s="349"/>
      <c s="341"/>
      <c s="349" t="e">
        <f>#N/A</f>
        <v>#N/A</v>
      </c>
      <c s="342"/>
      <c s="322" t="e">
        <f>#N/A</f>
        <v>#N/A</v>
      </c>
      <c s="319"/>
      <c s="185"/>
      <c s="349"/>
      <c s="185"/>
      <c s="426"/>
    </row>
    <row r="29" spans="1:20" s="1" customFormat="1" ht="30" customHeight="1" thickBot="1">
      <c r="A29" s="387" t="s">
        <v>298</v>
      </c>
      <c s="344">
        <v>0</v>
      </c>
      <c s="343" t="e">
        <f>'INGRESOS ACUMULADOS '!#REF!</f>
        <v>#REF!</v>
      </c>
      <c s="343" t="e">
        <f>'INGRESOS ACUMULADOS '!#REF!</f>
        <v>#REF!</v>
      </c>
      <c s="475" t="s">
        <v>299</v>
      </c>
      <c s="508" t="e">
        <f>'INGRESOS ACUMULADOS '!#REF!</f>
        <v>#REF!</v>
      </c>
      <c s="352"/>
      <c s="341"/>
      <c s="349"/>
      <c s="349"/>
      <c s="349"/>
      <c s="341"/>
      <c s="349" t="e">
        <f>#N/A</f>
        <v>#N/A</v>
      </c>
      <c s="342"/>
      <c s="322" t="e">
        <f>#N/A</f>
        <v>#N/A</v>
      </c>
      <c s="319"/>
      <c s="185"/>
      <c s="349"/>
      <c s="185"/>
      <c s="426" t="e">
        <f>#N/A</f>
        <v>#N/A</v>
      </c>
    </row>
    <row r="30" spans="1:20" s="1" customFormat="1" ht="30" customHeight="1" thickBot="1">
      <c r="A30" s="387" t="s">
        <v>323</v>
      </c>
      <c s="344">
        <v>0</v>
      </c>
      <c s="343" t="e">
        <f>'INGRESOS ACUMULADOS '!#REF!</f>
        <v>#REF!</v>
      </c>
      <c s="343">
        <v>0</v>
      </c>
      <c s="530" t="s">
        <v>391</v>
      </c>
      <c s="529" t="e">
        <f>'INGRESOS ACUMULADOS '!#REF!</f>
        <v>#REF!</v>
      </c>
      <c s="352"/>
      <c s="341"/>
      <c s="349"/>
      <c s="349"/>
      <c s="349"/>
      <c s="341"/>
      <c s="349" t="e">
        <f>#N/A</f>
        <v>#N/A</v>
      </c>
      <c s="342"/>
      <c s="322" t="e">
        <f>#N/A</f>
        <v>#N/A</v>
      </c>
      <c s="319"/>
      <c s="185"/>
      <c s="349"/>
      <c s="185"/>
      <c s="426"/>
    </row>
    <row r="31" spans="1:20" s="1" customFormat="1" ht="30" customHeight="1" thickBot="1">
      <c r="A31" s="387" t="s">
        <v>325</v>
      </c>
      <c s="344">
        <v>0</v>
      </c>
      <c s="343" t="e">
        <f>'INGRESOS ACUMULADOS '!#REF!</f>
        <v>#REF!</v>
      </c>
      <c s="343">
        <v>0</v>
      </c>
      <c s="530" t="s">
        <v>392</v>
      </c>
      <c s="529" t="e">
        <f>'INGRESOS ACUMULADOS '!#REF!</f>
        <v>#REF!</v>
      </c>
      <c s="352"/>
      <c s="341"/>
      <c s="349"/>
      <c s="349"/>
      <c s="349"/>
      <c s="341"/>
      <c s="349" t="e">
        <f>C31*F31</f>
        <v>#REF!</v>
      </c>
      <c s="342"/>
      <c s="322" t="e">
        <f>#N/A</f>
        <v>#N/A</v>
      </c>
      <c s="319"/>
      <c s="185"/>
      <c s="349"/>
      <c s="185"/>
      <c s="426"/>
    </row>
    <row r="32" spans="1:20" s="1" customFormat="1" ht="19.5" thickBot="1">
      <c r="A32" s="388" t="s">
        <v>319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320</v>
      </c>
      <c s="348" t="e">
        <f>'INGRESOS ACUMULADOS '!#REF!</f>
        <v>#REF!</v>
      </c>
      <c s="352" t="e">
        <f>B32*F32</f>
        <v>#REF!</v>
      </c>
      <c s="341"/>
      <c s="349">
        <f>B32*2200</f>
        <v>0</v>
      </c>
      <c s="349"/>
      <c s="349" t="e">
        <f>G32-I32-J32</f>
        <v>#REF!</v>
      </c>
      <c s="341"/>
      <c s="349" t="e">
        <f>#N/A</f>
        <v>#N/A</v>
      </c>
      <c s="342"/>
      <c s="322" t="e">
        <f>#N/A</f>
        <v>#N/A</v>
      </c>
      <c s="319" t="e">
        <f>O32-Q32-R32-S32</f>
        <v>#N/A</v>
      </c>
      <c s="185"/>
      <c s="349">
        <v>0</v>
      </c>
      <c s="185"/>
      <c s="426" t="e">
        <f>K32+M32+P32</f>
        <v>#REF!</v>
      </c>
    </row>
    <row r="33" spans="1:20" s="1" customFormat="1" ht="30" customHeight="1" thickBot="1">
      <c r="A33" s="388" t="s">
        <v>254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255</v>
      </c>
      <c s="348" t="e">
        <f>'INGRESOS ACUMULADOS '!#REF!</f>
        <v>#REF!</v>
      </c>
      <c s="352" t="e">
        <f>B33*F33</f>
        <v>#REF!</v>
      </c>
      <c s="341"/>
      <c s="349">
        <f>B33*2200</f>
        <v>0</v>
      </c>
      <c s="349"/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34" spans="1:20" s="1" customFormat="1" ht="30" customHeight="1" thickBot="1">
      <c r="A34" s="388" t="s">
        <v>256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257</v>
      </c>
      <c s="348" t="e">
        <f>'INGRESOS ACUMULADOS '!#REF!</f>
        <v>#REF!</v>
      </c>
      <c s="352" t="e">
        <f>#N/A</f>
        <v>#N/A</v>
      </c>
      <c s="341"/>
      <c s="349">
        <f>B34*2075</f>
        <v>0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35" spans="1:20" s="1" customFormat="1" ht="37.5" customHeight="1" thickBot="1">
      <c r="A35" s="388" t="s">
        <v>258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259</v>
      </c>
      <c s="348" t="e">
        <f>'INGRESOS ACUMULADOS '!#REF!</f>
        <v>#REF!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36" spans="1:20" s="1" customFormat="1" ht="37.5" customHeight="1" thickBot="1">
      <c r="A36" s="388" t="s">
        <v>327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393</v>
      </c>
      <c s="348" t="e">
        <f>'INGRESOS ACUMULADOS '!#REF!</f>
        <v>#REF!</v>
      </c>
      <c s="352" t="e">
        <f>#N/A</f>
        <v>#N/A</v>
      </c>
      <c s="341"/>
      <c s="349" t="e">
        <f>#N/A</f>
        <v>#N/A</v>
      </c>
      <c s="349">
        <f>B36*800</f>
        <v>0</v>
      </c>
      <c s="349" t="e">
        <f>G36-I36-J36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37" spans="1:20" s="1" customFormat="1" ht="37.5" customHeight="1" thickBot="1">
      <c r="A37" s="388" t="s">
        <v>441</v>
      </c>
      <c s="343">
        <v>0</v>
      </c>
      <c s="343">
        <f>'REGISTRO TRAMITES DEL DIA '!G73</f>
        <v>0</v>
      </c>
      <c s="343" t="e">
        <f>'INGRESOS ACUMULADOS '!#REF!</f>
        <v>#REF!</v>
      </c>
      <c s="530" t="s">
        <v>442</v>
      </c>
      <c s="348" t="e">
        <f>+'INGRESOS ACUMULADOS '!#REF!</f>
        <v>#REF!</v>
      </c>
      <c s="352" t="e">
        <f>#N/A</f>
        <v>#N/A</v>
      </c>
      <c s="341"/>
      <c s="349">
        <v>0</v>
      </c>
      <c s="349">
        <v>0</v>
      </c>
      <c s="349" t="e">
        <f>G37-I37-J37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38" spans="1:20" s="1" customFormat="1" ht="30" customHeight="1" thickBot="1">
      <c r="A38" s="388" t="s">
        <v>260</v>
      </c>
      <c s="343">
        <v>0</v>
      </c>
      <c s="343">
        <f>'REGISTRO TRAMITES DEL DIA '!G74</f>
        <v>39</v>
      </c>
      <c s="343" t="e">
        <f>'INGRESOS ACUMULADOS '!#REF!</f>
        <v>#REF!</v>
      </c>
      <c s="346" t="s">
        <v>261</v>
      </c>
      <c s="348" t="e">
        <f>'INGRESOS ACUMULADOS '!#REF!</f>
        <v>#REF!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39" spans="1:20" s="1" customFormat="1" ht="30" customHeight="1" thickBot="1">
      <c r="A39" s="388" t="s">
        <v>262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263</v>
      </c>
      <c s="348" t="e">
        <f>'INGRESOS ACUMULADOS '!#REF!</f>
        <v>#REF!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40" spans="1:20" s="1" customFormat="1" ht="30" customHeight="1" thickBot="1">
      <c r="A40" s="388" t="s">
        <v>264</v>
      </c>
      <c s="343">
        <v>0</v>
      </c>
      <c s="343" t="e">
        <f>'INGRESOS ACUMULADOS '!#REF!</f>
        <v>#REF!</v>
      </c>
      <c s="343" t="e">
        <f>'INGRESOS ACUMULADOS '!#REF!</f>
        <v>#REF!</v>
      </c>
      <c s="347" t="s">
        <v>265</v>
      </c>
      <c s="348" t="e">
        <f>'INGRESOS ACUMULADOS '!#REF!</f>
        <v>#REF!</v>
      </c>
      <c s="352" t="e">
        <f>#N/A</f>
        <v>#N/A</v>
      </c>
      <c s="341"/>
      <c s="349">
        <f>B40*2075</f>
        <v>0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41" spans="1:20" s="1" customFormat="1" ht="30" customHeight="1" thickBot="1">
      <c r="A41" s="388" t="s">
        <v>266</v>
      </c>
      <c s="343">
        <v>0</v>
      </c>
      <c s="343" t="e">
        <f>'INGRESOS ACUMULADOS '!#REF!</f>
        <v>#REF!</v>
      </c>
      <c s="343" t="e">
        <f>'INGRESOS ACUMULADOS '!#REF!</f>
        <v>#REF!</v>
      </c>
      <c s="347" t="s">
        <v>267</v>
      </c>
      <c s="348" t="e">
        <f>'INGRESOS ACUMULADOS '!#REF!</f>
        <v>#REF!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42" spans="1:20" s="1" customFormat="1" ht="30" customHeight="1" thickBot="1">
      <c r="A42" s="388" t="s">
        <v>268</v>
      </c>
      <c s="343">
        <v>0</v>
      </c>
      <c s="343" t="e">
        <f>'INGRESOS ACUMULADOS '!#REF!</f>
        <v>#REF!</v>
      </c>
      <c s="343" t="e">
        <f>'INGRESOS ACUMULADOS '!#REF!</f>
        <v>#REF!</v>
      </c>
      <c s="347" t="s">
        <v>269</v>
      </c>
      <c s="348" t="e">
        <f>'INGRESOS ACUMULADOS '!#REF!</f>
        <v>#REF!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C42*F42</f>
        <v>#REF!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43" spans="1:20" s="1" customFormat="1" ht="30" customHeight="1" thickBot="1">
      <c r="A43" s="388" t="s">
        <v>270</v>
      </c>
      <c s="343">
        <v>0</v>
      </c>
      <c s="343" t="e">
        <f>'INGRESOS ACUMULADOS '!#REF!</f>
        <v>#REF!</v>
      </c>
      <c s="343" t="e">
        <f>'INGRESOS ACUMULADOS '!#REF!</f>
        <v>#REF!</v>
      </c>
      <c s="347" t="s">
        <v>271</v>
      </c>
      <c s="348" t="e">
        <f>'INGRESOS ACUMULADOS '!#REF!</f>
        <v>#REF!</v>
      </c>
      <c s="352" t="e">
        <f>#N/A</f>
        <v>#N/A</v>
      </c>
      <c s="341"/>
      <c s="349">
        <f>B43*2075</f>
        <v>0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44" spans="1:20" s="1" customFormat="1" ht="39" customHeight="1" thickBot="1">
      <c r="A44" s="388" t="s">
        <v>272</v>
      </c>
      <c s="343">
        <v>0</v>
      </c>
      <c s="343" t="e">
        <f>'INGRESOS ACUMULADOS '!#REF!</f>
        <v>#REF!</v>
      </c>
      <c s="343" t="e">
        <f>'INGRESOS ACUMULADOS '!#REF!</f>
        <v>#REF!</v>
      </c>
      <c s="347" t="s">
        <v>303</v>
      </c>
      <c s="348" t="e">
        <f>'INGRESOS ACUMULADOS '!#REF!</f>
        <v>#REF!</v>
      </c>
      <c s="352" t="e">
        <f>#N/A</f>
        <v>#N/A</v>
      </c>
      <c s="341"/>
      <c s="349">
        <f>B44*2075</f>
        <v>0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 t="e">
        <f>#N/A</f>
        <v>#N/A</v>
      </c>
      <c s="185"/>
      <c s="349">
        <v>0</v>
      </c>
      <c s="185"/>
      <c s="426" t="e">
        <f>#N/A</f>
        <v>#N/A</v>
      </c>
    </row>
    <row r="45" spans="1:20" s="1" customFormat="1" ht="30" customHeight="1" thickBot="1">
      <c r="A45" s="388" t="s">
        <v>274</v>
      </c>
      <c s="343">
        <v>0</v>
      </c>
      <c s="343" t="e">
        <f>'INGRESOS ACUMULADOS '!#REF!</f>
        <v>#REF!</v>
      </c>
      <c s="343" t="e">
        <f>'INGRESOS ACUMULADOS '!#REF!</f>
        <v>#REF!</v>
      </c>
      <c s="347" t="s">
        <v>275</v>
      </c>
      <c s="348" t="e">
        <f>'INGRESOS ACUMULADOS '!#REF!</f>
        <v>#REF!</v>
      </c>
      <c s="400" t="e">
        <f>#N/A</f>
        <v>#N/A</v>
      </c>
      <c s="341"/>
      <c s="360"/>
      <c s="360" t="e">
        <f>#N/A</f>
        <v>#N/A</v>
      </c>
      <c s="360" t="e">
        <f>#N/A</f>
        <v>#N/A</v>
      </c>
      <c s="341"/>
      <c s="349" t="e">
        <f>C45*F45</f>
        <v>#REF!</v>
      </c>
      <c s="342"/>
      <c s="322" t="e">
        <f>#N/A</f>
        <v>#N/A</v>
      </c>
      <c s="361"/>
      <c s="190"/>
      <c s="360">
        <v>0</v>
      </c>
      <c s="190"/>
      <c s="426" t="e">
        <f>#N/A</f>
        <v>#N/A</v>
      </c>
    </row>
    <row r="46" spans="1:30" ht="41.25" customHeight="1">
      <c r="A46" s="195" t="s">
        <v>246</v>
      </c>
      <c s="286">
        <f>SUM(B10:B45)</f>
        <v>9488</v>
      </c>
      <c s="286" t="e">
        <f>SUM(C10:C45)</f>
        <v>#REF!</v>
      </c>
      <c s="286" t="e">
        <f>SUM(D10:D45)</f>
        <v>#REF!</v>
      </c>
      <c s="1483" t="s">
        <v>182</v>
      </c>
      <c s="1483"/>
      <c s="394" t="e">
        <f>SUM(G10:G45)</f>
        <v>#N/A</v>
      </c>
      <c s="394"/>
      <c s="394" t="e">
        <f>SUM(I10:I45)</f>
        <v>#N/A</v>
      </c>
      <c s="394" t="e">
        <f>SUM(J10:J45)</f>
        <v>#N/A</v>
      </c>
      <c s="394" t="e">
        <f>SUM(K10:K45)</f>
        <v>#N/A</v>
      </c>
      <c s="394"/>
      <c s="395" t="e">
        <f>SUM(M25:M45)</f>
        <v>#REF!</v>
      </c>
      <c s="395"/>
      <c s="394" t="e">
        <f>SUM(O10:O45)</f>
        <v>#REF!</v>
      </c>
      <c s="394" t="e">
        <f>SUM(P10:P45)</f>
        <v>#N/A</v>
      </c>
      <c s="394" t="e">
        <f>SUM(Q10:Q23)</f>
        <v>#REF!</v>
      </c>
      <c s="394" t="e">
        <f>SUM(R10:R45)</f>
        <v>#REF!</v>
      </c>
      <c s="394" t="e">
        <f>SUM(S10:S24)</f>
        <v>#N/A</v>
      </c>
      <c s="394" t="e">
        <f>SUM(T10:T45)</f>
        <v>#N/A</v>
      </c>
      <c s="251"/>
      <c s="251"/>
      <c s="181">
        <v>0</v>
      </c>
      <c s="251"/>
      <c s="251"/>
      <c s="251"/>
      <c s="251"/>
      <c s="251"/>
      <c s="251"/>
      <c s="251"/>
    </row>
    <row r="47" spans="5:23" ht="43.5" customHeight="1">
      <c r="E47" s="180"/>
      <c r="G47" s="262"/>
      <c r="I47" s="172"/>
      <c r="K47" s="181"/>
      <c s="181"/>
      <c s="181"/>
      <c r="P47" s="525"/>
      <c s="525"/>
      <c r="W47" s="485">
        <v>0</v>
      </c>
    </row>
    <row r="48" spans="2:23" ht="37.5" customHeight="1" hidden="1">
      <c r="B48" s="176"/>
      <c s="176"/>
      <c s="176"/>
      <c s="1484" t="s">
        <v>449</v>
      </c>
      <c s="1485"/>
      <c s="284">
        <f>SUM(I48:K48)</f>
        <v>0</v>
      </c>
      <c s="283"/>
      <c s="284">
        <v>0</v>
      </c>
      <c s="284"/>
      <c s="284">
        <v>0</v>
      </c>
      <c s="283"/>
      <c s="284">
        <v>0</v>
      </c>
      <c s="283">
        <v>0</v>
      </c>
      <c s="284">
        <v>0</v>
      </c>
      <c s="674"/>
      <c s="674"/>
      <c s="284"/>
      <c s="284"/>
      <c s="430">
        <f>K48+M48+P48</f>
        <v>0</v>
      </c>
      <c r="W48" s="485" t="e">
        <f>K77</f>
        <v>#N/A</v>
      </c>
    </row>
    <row r="49" spans="2:23" ht="0.75" customHeight="1">
      <c r="B49" s="176"/>
      <c s="176"/>
      <c s="176"/>
      <c s="1486" t="s">
        <v>438</v>
      </c>
      <c s="1486"/>
      <c s="676">
        <f>SUM(I49:K49)</f>
        <v>0</v>
      </c>
      <c s="675"/>
      <c s="675">
        <v>0</v>
      </c>
      <c s="675">
        <v>0</v>
      </c>
      <c s="675">
        <v>0</v>
      </c>
      <c s="271"/>
      <c s="252"/>
      <c s="271"/>
      <c s="252"/>
      <c s="310"/>
      <c s="310"/>
      <c s="284"/>
      <c s="284"/>
      <c s="430"/>
      <c r="W49" s="485"/>
    </row>
    <row r="50" spans="2:23" ht="39.75" customHeight="1" hidden="1">
      <c r="B50" s="661"/>
      <c s="176"/>
      <c s="176"/>
      <c s="1484" t="s">
        <v>448</v>
      </c>
      <c s="1485"/>
      <c s="252">
        <f>SUM(I50:O50)</f>
        <v>0</v>
      </c>
      <c s="283"/>
      <c s="284">
        <v>0</v>
      </c>
      <c s="284">
        <v>0</v>
      </c>
      <c s="252">
        <v>0</v>
      </c>
      <c s="283">
        <v>0</v>
      </c>
      <c s="252">
        <v>0</v>
      </c>
      <c s="283">
        <v>0</v>
      </c>
      <c s="252">
        <v>0</v>
      </c>
      <c s="310"/>
      <c s="310"/>
      <c s="284"/>
      <c s="284"/>
      <c s="430">
        <f>K50+M50+P50</f>
        <v>0</v>
      </c>
      <c r="W50" s="485" t="e">
        <f>M53</f>
        <v>#REF!</v>
      </c>
    </row>
    <row r="51" spans="2:23" ht="23.25" customHeight="1" hidden="1">
      <c r="B51" s="661"/>
      <c s="176"/>
      <c s="176"/>
      <c s="1484" t="s">
        <v>446</v>
      </c>
      <c s="1485"/>
      <c s="252">
        <f>SUM(I51:O51)</f>
        <v>0</v>
      </c>
      <c s="283"/>
      <c s="284">
        <v>0</v>
      </c>
      <c s="284">
        <v>0</v>
      </c>
      <c s="252">
        <v>0</v>
      </c>
      <c s="283">
        <v>0</v>
      </c>
      <c s="252">
        <v>0</v>
      </c>
      <c s="283">
        <v>0</v>
      </c>
      <c s="252">
        <v>0</v>
      </c>
      <c s="310"/>
      <c s="310"/>
      <c s="284"/>
      <c s="284"/>
      <c s="430">
        <f>K51+M51+P51</f>
        <v>0</v>
      </c>
      <c r="W51" s="485">
        <f>M54</f>
        <v>0</v>
      </c>
    </row>
    <row r="52" spans="2:23" ht="23.25" customHeight="1" hidden="1">
      <c r="B52" s="176"/>
      <c s="176"/>
      <c s="176"/>
      <c s="1484" t="s">
        <v>434</v>
      </c>
      <c s="1485"/>
      <c s="252">
        <f>SUM(I52:K52)</f>
        <v>0</v>
      </c>
      <c s="283"/>
      <c s="284">
        <v>0</v>
      </c>
      <c s="284">
        <v>0</v>
      </c>
      <c s="284">
        <v>0</v>
      </c>
      <c s="283"/>
      <c s="252"/>
      <c s="283"/>
      <c s="252"/>
      <c s="310"/>
      <c s="310"/>
      <c s="284"/>
      <c s="284"/>
      <c s="430"/>
      <c r="W52" s="485"/>
    </row>
    <row r="53" spans="2:23" ht="35.25" customHeight="1" thickBot="1">
      <c r="B53" s="662"/>
      <c r="E53" s="1483" t="s">
        <v>127</v>
      </c>
      <c s="1483"/>
      <c s="541" t="e">
        <f>SUM(I53:K53)</f>
        <v>#N/A</v>
      </c>
      <c s="272"/>
      <c s="253" t="e">
        <f>I46+I48-I50-I51-I49</f>
        <v>#N/A</v>
      </c>
      <c s="253" t="e">
        <f>J46+J48-J50-J51-J49</f>
        <v>#N/A</v>
      </c>
      <c s="253" t="e">
        <f>K46-K52-K50-K51-K49</f>
        <v>#N/A</v>
      </c>
      <c s="272"/>
      <c s="253" t="e">
        <f>M46+M48</f>
        <v>#REF!</v>
      </c>
      <c s="534"/>
      <c s="253" t="e">
        <f>O46+O48</f>
        <v>#REF!</v>
      </c>
      <c s="253" t="e">
        <f>P46+P48</f>
        <v>#N/A</v>
      </c>
      <c s="253" t="e">
        <f>Q46+Q48</f>
        <v>#REF!</v>
      </c>
      <c s="253" t="e">
        <f>R46+R48</f>
        <v>#REF!</v>
      </c>
      <c s="253" t="e">
        <f>S46+S48</f>
        <v>#N/A</v>
      </c>
      <c s="512" t="e">
        <f>K53+M53+P53</f>
        <v>#N/A</v>
      </c>
      <c r="W53" s="487" t="e">
        <f>P53</f>
        <v>#N/A</v>
      </c>
    </row>
    <row r="54" spans="2:23" ht="25.5" customHeight="1" thickTop="1">
      <c r="B54" s="172"/>
      <c r="E54" s="1487"/>
      <c s="1487"/>
      <c s="1487"/>
      <c s="1487"/>
      <c s="1487"/>
      <c s="1487"/>
      <c s="1487"/>
      <c s="1487"/>
      <c s="1487"/>
      <c s="1487"/>
      <c s="1487"/>
      <c s="1487"/>
      <c s="1487"/>
      <c s="1487"/>
      <c s="304"/>
      <c s="650"/>
      <c r="W54" s="649"/>
    </row>
    <row r="55" spans="2:23" ht="21" customHeight="1">
      <c r="B55" s="172"/>
      <c r="E55" s="149"/>
      <c s="680"/>
      <c s="680"/>
      <c s="680"/>
      <c s="680"/>
      <c s="680"/>
      <c s="680"/>
      <c s="680"/>
      <c s="680"/>
      <c s="680"/>
      <c s="680"/>
      <c s="680"/>
      <c s="680"/>
      <c s="680"/>
      <c s="304"/>
      <c s="650"/>
      <c r="W55" s="649"/>
    </row>
    <row r="56" spans="2:23" ht="21" customHeight="1">
      <c r="B56" s="172"/>
      <c r="E56" s="149"/>
      <c s="680"/>
      <c s="680"/>
      <c s="680"/>
      <c s="680"/>
      <c s="680"/>
      <c s="680"/>
      <c s="680"/>
      <c s="680"/>
      <c s="680"/>
      <c s="680"/>
      <c s="680"/>
      <c s="680"/>
      <c s="680"/>
      <c s="304"/>
      <c s="650"/>
      <c r="W56" s="649"/>
    </row>
    <row r="57" spans="1:20" ht="21" customHeight="1">
      <c r="A57" s="191"/>
      <c s="178"/>
      <c s="178"/>
      <c s="178"/>
      <c s="418"/>
      <c s="149"/>
      <c s="149"/>
      <c s="149"/>
      <c s="149"/>
      <c s="149"/>
      <c s="182"/>
      <c s="182"/>
      <c s="182"/>
      <c s="182"/>
      <c s="182"/>
      <c s="182"/>
      <c s="182"/>
      <c s="182"/>
      <c s="192"/>
      <c s="192"/>
    </row>
    <row r="58" spans="1:24" ht="31.5" customHeight="1" thickBot="1">
      <c r="A58" s="191"/>
      <c s="176"/>
      <c s="176"/>
      <c s="176"/>
      <c s="197" t="s">
        <v>283</v>
      </c>
      <c s="294" t="s">
        <v>60</v>
      </c>
      <c s="266"/>
      <c s="179"/>
      <c s="179"/>
      <c s="179"/>
      <c s="194"/>
      <c s="194"/>
      <c s="193"/>
      <c s="193"/>
      <c s="193"/>
      <c s="193"/>
      <c s="193"/>
      <c s="193"/>
      <c s="191"/>
      <c s="191"/>
      <c s="251"/>
      <c s="251"/>
      <c r="X58" s="262"/>
    </row>
    <row r="59" spans="1:24" ht="23.25" customHeight="1" thickBot="1">
      <c r="A59" s="195"/>
      <c s="180"/>
      <c s="180"/>
      <c s="180"/>
      <c s="1446" t="s">
        <v>447</v>
      </c>
      <c s="1446"/>
      <c s="407">
        <f>SUM(I59:K59)</f>
        <v>0</v>
      </c>
      <c s="408"/>
      <c s="196">
        <f>'REGISTRO ALIMENTARIO'!B122</f>
        <v>0</v>
      </c>
      <c s="196">
        <f>'REGISTRO ALIMENTARIO'!C122</f>
        <v>0</v>
      </c>
      <c s="196">
        <f>'REGISTRO ALIMENTARIO'!D122</f>
        <v>0</v>
      </c>
      <c s="317"/>
      <c s="196">
        <f>'REGISTRO ALIMENTARIO'!J122</f>
        <v>0</v>
      </c>
      <c s="317"/>
      <c s="196">
        <v>0</v>
      </c>
      <c s="196"/>
      <c s="317"/>
      <c s="196"/>
      <c s="196"/>
      <c s="317"/>
      <c s="409">
        <v>0</v>
      </c>
      <c s="410" t="e">
        <f>#N/A</f>
        <v>#N/A</v>
      </c>
      <c r="X59" s="262"/>
    </row>
    <row r="60" spans="1:24" ht="30" customHeight="1" thickBot="1">
      <c r="A60" s="195" t="s">
        <v>240</v>
      </c>
      <c s="180"/>
      <c s="180"/>
      <c s="180"/>
      <c s="149" t="s">
        <v>450</v>
      </c>
      <c s="149"/>
      <c s="406">
        <f>SUM(I60:K60)</f>
        <v>0</v>
      </c>
      <c s="250"/>
      <c s="235">
        <f>'REGISTRO ALIMENTARIO'!B55</f>
        <v>0</v>
      </c>
      <c s="235">
        <f>'REGISTRO ALIMENTARIO'!C55</f>
        <v>0</v>
      </c>
      <c s="235">
        <f>'REGISTRO ALIMENTARIO'!D55</f>
        <v>0</v>
      </c>
      <c s="236"/>
      <c s="239">
        <f>'REGISTRO ALIMENTARIO'!J55</f>
        <v>0</v>
      </c>
      <c s="405"/>
      <c s="239">
        <f>P60+R60+S60+U60</f>
        <v>0</v>
      </c>
      <c s="239">
        <f>'REGISTRO ALIMENTARIO'!F55</f>
        <v>0</v>
      </c>
      <c s="239"/>
      <c s="239">
        <f>'REGISTRO ALIMENTARIO'!G55</f>
        <v>0</v>
      </c>
      <c s="239">
        <f>'REGISTRO ALIMENTARIO'!H55</f>
        <v>0</v>
      </c>
      <c s="239"/>
      <c s="239">
        <f>'REGISTRO ALIMENTARIO'!I55</f>
        <v>0</v>
      </c>
      <c s="410" t="e">
        <f>#N/A</f>
        <v>#N/A</v>
      </c>
      <c r="X60" s="262"/>
    </row>
    <row r="61" spans="1:24" ht="42.75" customHeight="1" thickTop="1" thickBot="1">
      <c r="A61" s="195"/>
      <c s="180"/>
      <c s="180"/>
      <c s="180"/>
      <c s="149" t="s">
        <v>451</v>
      </c>
      <c s="149"/>
      <c s="406" t="e">
        <f>SUM(I61:K61)</f>
        <v>#N/A</v>
      </c>
      <c s="288"/>
      <c s="206" t="e">
        <f>I46</f>
        <v>#N/A</v>
      </c>
      <c s="206" t="e">
        <f>J46</f>
        <v>#N/A</v>
      </c>
      <c s="206">
        <f>'OAI '!K38</f>
        <v>0</v>
      </c>
      <c s="268"/>
      <c s="206" t="e">
        <f>M46</f>
        <v>#REF!</v>
      </c>
      <c s="268">
        <f>N42</f>
        <v>0</v>
      </c>
      <c s="206" t="e">
        <f>O46</f>
        <v>#REF!</v>
      </c>
      <c s="206" t="e">
        <f>P46</f>
        <v>#N/A</v>
      </c>
      <c s="326"/>
      <c s="333" t="e">
        <f>R46</f>
        <v>#REF!</v>
      </c>
      <c s="333" t="e">
        <f>S46</f>
        <v>#N/A</v>
      </c>
      <c s="326">
        <v>0</v>
      </c>
      <c s="338">
        <f>U46</f>
        <v>0</v>
      </c>
      <c s="410" t="e">
        <f>#N/A</f>
        <v>#N/A</v>
      </c>
      <c r="X61" s="262"/>
    </row>
    <row r="62" spans="1:24" ht="0.75" customHeight="1" thickBot="1">
      <c r="A62" s="195"/>
      <c s="180"/>
      <c s="180"/>
      <c s="180"/>
      <c s="1484" t="s">
        <v>431</v>
      </c>
      <c s="1485"/>
      <c s="655">
        <f>SUM(I62:K62)</f>
        <v>0</v>
      </c>
      <c s="656"/>
      <c s="284">
        <v>0</v>
      </c>
      <c s="284">
        <v>0</v>
      </c>
      <c s="252">
        <v>0</v>
      </c>
      <c s="658"/>
      <c s="657">
        <v>0</v>
      </c>
      <c s="658"/>
      <c s="657">
        <v>0</v>
      </c>
      <c s="657">
        <v>0</v>
      </c>
      <c s="659"/>
      <c s="660">
        <v>0</v>
      </c>
      <c s="660">
        <v>0</v>
      </c>
      <c s="659"/>
      <c s="338">
        <v>0</v>
      </c>
      <c s="410">
        <f>K62+M62+P62</f>
        <v>0</v>
      </c>
      <c r="X62" s="262"/>
    </row>
    <row r="63" spans="1:24" ht="40.5" customHeight="1" thickBot="1">
      <c r="A63" s="195"/>
      <c s="180"/>
      <c s="180"/>
      <c s="180"/>
      <c s="1446" t="s">
        <v>452</v>
      </c>
      <c s="1446"/>
      <c s="411" t="e">
        <f>SUM(G59:G61)</f>
        <v>#N/A</v>
      </c>
      <c s="270"/>
      <c s="379" t="e">
        <f>I59+I60+I61</f>
        <v>#N/A</v>
      </c>
      <c s="379" t="e">
        <f>J59+J60+J61-J62</f>
        <v>#N/A</v>
      </c>
      <c s="379">
        <f>K59+K60+K61-K62</f>
        <v>0</v>
      </c>
      <c s="246"/>
      <c s="379" t="e">
        <f>M59+M60+M61</f>
        <v>#REF!</v>
      </c>
      <c s="379"/>
      <c s="379" t="e">
        <f>O59+O60+O61</f>
        <v>#REF!</v>
      </c>
      <c s="379" t="e">
        <f>SUM(P60:P61)</f>
        <v>#N/A</v>
      </c>
      <c s="380"/>
      <c s="381" t="e">
        <f>SUM(R60:R61)</f>
        <v>#REF!</v>
      </c>
      <c s="381" t="e">
        <f>SUM(S59:S61)</f>
        <v>#N/A</v>
      </c>
      <c s="327"/>
      <c s="382">
        <f>SUM(U59:U61)</f>
        <v>0</v>
      </c>
      <c s="481" t="e">
        <f>#N/A</f>
        <v>#N/A</v>
      </c>
      <c r="X63" s="172"/>
    </row>
    <row r="64" spans="1:22" ht="24.75" customHeight="1" thickBot="1">
      <c r="A64" s="195"/>
      <c s="180"/>
      <c s="180"/>
      <c s="180"/>
      <c s="1443" t="s">
        <v>453</v>
      </c>
      <c s="1446"/>
      <c s="412">
        <f>SUM(I64:K64)</f>
        <v>0</v>
      </c>
      <c s="270"/>
      <c s="377">
        <f>'REGISTRO ALIMENTARIO'!B119</f>
        <v>0</v>
      </c>
      <c s="377">
        <f>'REGISTRO ALIMENTARIO'!C119</f>
        <v>0</v>
      </c>
      <c s="377">
        <f>'REGISTRO ALIMENTARIO'!D119</f>
        <v>0</v>
      </c>
      <c s="269"/>
      <c s="377">
        <f>'REGISTRO ALIMENTARIO'!J119</f>
        <v>0</v>
      </c>
      <c s="378"/>
      <c s="377" t="e">
        <f>O63</f>
        <v>#REF!</v>
      </c>
      <c s="377" t="e">
        <f>#N/A</f>
        <v>#N/A</v>
      </c>
      <c s="377"/>
      <c s="377" t="e">
        <f>#N/A</f>
        <v>#N/A</v>
      </c>
      <c s="377" t="e">
        <f>#N/A</f>
        <v>#N/A</v>
      </c>
      <c s="377"/>
      <c s="377" t="e">
        <f>#N/A</f>
        <v>#N/A</v>
      </c>
      <c s="482" t="e">
        <f>#N/A</f>
        <v>#N/A</v>
      </c>
    </row>
    <row r="65" spans="2:22" ht="24" customHeight="1" hidden="1" thickBot="1">
      <c r="B65" s="176"/>
      <c s="176"/>
      <c s="176"/>
      <c s="1488" t="s">
        <v>198</v>
      </c>
      <c s="1488"/>
      <c s="406" t="e">
        <f>#N/A</f>
        <v>#N/A</v>
      </c>
      <c s="271"/>
      <c s="252">
        <v>0</v>
      </c>
      <c s="252"/>
      <c s="184">
        <f>SUM(M65:M65)</f>
        <v>0</v>
      </c>
      <c s="271"/>
      <c s="184">
        <v>0</v>
      </c>
      <c s="271"/>
      <c s="184">
        <v>0</v>
      </c>
      <c s="184"/>
      <c s="327"/>
      <c s="334"/>
      <c s="334">
        <v>0</v>
      </c>
      <c s="328"/>
      <c s="375">
        <f>SUM(M65:S65)</f>
        <v>0</v>
      </c>
      <c s="410" t="e">
        <f>#N/A</f>
        <v>#N/A</v>
      </c>
    </row>
    <row r="66" spans="2:22" ht="24.75" customHeight="1" hidden="1" thickBot="1">
      <c r="B66" s="176"/>
      <c s="176"/>
      <c s="176"/>
      <c s="1489" t="s">
        <v>167</v>
      </c>
      <c s="1489"/>
      <c s="406" t="e">
        <f>#N/A</f>
        <v>#N/A</v>
      </c>
      <c s="271"/>
      <c s="252">
        <v>0</v>
      </c>
      <c s="252"/>
      <c s="184">
        <v>0</v>
      </c>
      <c s="276"/>
      <c s="184">
        <v>0</v>
      </c>
      <c s="271"/>
      <c s="184">
        <v>0</v>
      </c>
      <c s="184"/>
      <c s="327"/>
      <c s="334"/>
      <c s="334"/>
      <c s="276"/>
      <c s="375">
        <f>SUM(M66:S66)</f>
        <v>0</v>
      </c>
      <c s="410" t="e">
        <f>#N/A</f>
        <v>#N/A</v>
      </c>
    </row>
    <row r="67" spans="1:24" ht="31.5" customHeight="1" thickBot="1">
      <c r="A67" s="154" t="s">
        <v>240</v>
      </c>
      <c s="176"/>
      <c s="176"/>
      <c s="176"/>
      <c s="1490" t="s">
        <v>454</v>
      </c>
      <c s="1480"/>
      <c s="406" t="e">
        <f>#N/A</f>
        <v>#N/A</v>
      </c>
      <c s="283"/>
      <c s="284" t="e">
        <f>'REGISTRO ALIMENTARIO'!#REF!</f>
        <v>#REF!</v>
      </c>
      <c s="284" t="e">
        <f>'REGISTRO ALIMENTARIO'!#REF!</f>
        <v>#REF!</v>
      </c>
      <c s="284" t="e">
        <f>'REGISTRO ALIMENTARIO'!#REF!</f>
        <v>#REF!</v>
      </c>
      <c s="276"/>
      <c s="284">
        <v>0</v>
      </c>
      <c s="283"/>
      <c s="284" t="e">
        <f>'REGISTRO ALIMENTARIO'!#REF!</f>
        <v>#REF!</v>
      </c>
      <c s="284"/>
      <c s="330"/>
      <c s="335"/>
      <c s="335"/>
      <c s="276"/>
      <c s="339"/>
      <c s="410" t="e">
        <f>#N/A</f>
        <v>#N/A</v>
      </c>
      <c r="X67" s="316"/>
    </row>
    <row r="68" spans="2:22" ht="23.25" customHeight="1" hidden="1" thickBot="1">
      <c r="B68" s="176"/>
      <c s="176"/>
      <c s="176"/>
      <c s="1480" t="s">
        <v>230</v>
      </c>
      <c s="1480"/>
      <c s="406" t="e">
        <f>#N/A</f>
        <v>#N/A</v>
      </c>
      <c s="271"/>
      <c s="252">
        <v>0</v>
      </c>
      <c s="252" t="e">
        <f>'REGISTROS CARGOS DEL DIA'!#REF!</f>
        <v>#REF!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/>
      <c s="328"/>
      <c s="376" t="e">
        <f>#N/A</f>
        <v>#N/A</v>
      </c>
      <c s="410" t="e">
        <f>#N/A</f>
        <v>#N/A</v>
      </c>
    </row>
    <row r="69" spans="2:22" ht="7.5" customHeight="1" hidden="1" thickBot="1">
      <c r="B69" s="176"/>
      <c s="176"/>
      <c s="176"/>
      <c s="281" t="s">
        <v>231</v>
      </c>
      <c s="281"/>
      <c s="406" t="e">
        <f>#N/A</f>
        <v>#N/A</v>
      </c>
      <c s="279"/>
      <c s="280">
        <v>0</v>
      </c>
      <c s="280" t="e">
        <f>SUM(J67:J68)</f>
        <v>#REF!</v>
      </c>
      <c s="284" t="e">
        <f>#N/A</f>
        <v>#N/A</v>
      </c>
      <c s="276"/>
      <c s="280">
        <v>0</v>
      </c>
      <c s="279"/>
      <c s="280">
        <v>0</v>
      </c>
      <c s="280"/>
      <c s="331"/>
      <c s="336"/>
      <c s="336">
        <f>SUM(S67:S68)</f>
        <v>0</v>
      </c>
      <c s="276"/>
      <c s="375" t="e">
        <f>#N/A</f>
        <v>#N/A</v>
      </c>
      <c s="410" t="e">
        <f>#N/A</f>
        <v>#N/A</v>
      </c>
    </row>
    <row r="70" spans="2:22" ht="25.5" customHeight="1" hidden="1" thickBot="1">
      <c r="B70" s="176"/>
      <c s="176"/>
      <c s="176"/>
      <c s="1488" t="s">
        <v>200</v>
      </c>
      <c s="1488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184">
        <v>0</v>
      </c>
      <c s="271"/>
      <c s="184">
        <v>0</v>
      </c>
      <c s="184"/>
      <c s="327"/>
      <c s="334"/>
      <c s="334"/>
      <c s="276"/>
      <c s="375" t="e">
        <f>#N/A</f>
        <v>#N/A</v>
      </c>
      <c s="410" t="e">
        <f>#N/A</f>
        <v>#N/A</v>
      </c>
    </row>
    <row r="71" spans="2:28" ht="36.75" customHeight="1" hidden="1" thickBot="1">
      <c r="B71" s="176"/>
      <c s="176"/>
      <c s="176"/>
      <c s="1480"/>
      <c s="1480"/>
      <c s="406" t="e">
        <f>#N/A</f>
        <v>#N/A</v>
      </c>
      <c s="271"/>
      <c s="252">
        <v>0</v>
      </c>
      <c s="252">
        <v>0</v>
      </c>
      <c s="284" t="e">
        <f>#N/A</f>
        <v>#N/A</v>
      </c>
      <c s="276"/>
      <c s="184">
        <v>0</v>
      </c>
      <c s="271"/>
      <c s="184">
        <v>0</v>
      </c>
      <c s="184"/>
      <c s="327"/>
      <c s="334"/>
      <c s="334"/>
      <c s="328"/>
      <c s="375" t="e">
        <f>#N/A</f>
        <v>#N/A</v>
      </c>
      <c s="410" t="e">
        <f>#N/A</f>
        <v>#N/A</v>
      </c>
      <c r="X71" s="184"/>
      <c s="271"/>
      <c s="252"/>
      <c s="276"/>
      <c s="184"/>
    </row>
    <row r="72" spans="2:22" ht="37.5" customHeight="1" hidden="1" thickBot="1">
      <c r="B72" s="176"/>
      <c s="176"/>
      <c s="176"/>
      <c s="1480" t="s">
        <v>175</v>
      </c>
      <c s="1480"/>
      <c s="406" t="e">
        <f>#N/A</f>
        <v>#N/A</v>
      </c>
      <c s="271"/>
      <c s="184">
        <v>0</v>
      </c>
      <c s="184">
        <v>0</v>
      </c>
      <c s="284" t="e">
        <f>#N/A</f>
        <v>#N/A</v>
      </c>
      <c s="276"/>
      <c s="184">
        <v>0</v>
      </c>
      <c s="271"/>
      <c s="184">
        <v>0</v>
      </c>
      <c s="184"/>
      <c s="327"/>
      <c s="334"/>
      <c s="334"/>
      <c s="276"/>
      <c s="375" t="e">
        <f>#N/A</f>
        <v>#N/A</v>
      </c>
      <c s="410" t="e">
        <f>#N/A</f>
        <v>#N/A</v>
      </c>
    </row>
    <row r="73" spans="2:22" ht="16.5" customHeight="1" hidden="1" thickBot="1">
      <c r="B73" s="176"/>
      <c s="176"/>
      <c s="176"/>
      <c s="1491" t="s">
        <v>181</v>
      </c>
      <c s="1492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184">
        <v>0</v>
      </c>
      <c s="271"/>
      <c s="184">
        <v>0</v>
      </c>
      <c s="184"/>
      <c s="327"/>
      <c s="334"/>
      <c s="334">
        <v>0</v>
      </c>
      <c s="328"/>
      <c s="375" t="e">
        <f>#N/A</f>
        <v>#N/A</v>
      </c>
      <c s="410" t="e">
        <f>#N/A</f>
        <v>#N/A</v>
      </c>
    </row>
    <row r="74" spans="2:22" ht="21.75" customHeight="1" hidden="1" thickBot="1">
      <c r="B74" s="176"/>
      <c s="176"/>
      <c s="176"/>
      <c s="1493" t="s">
        <v>195</v>
      </c>
      <c s="1493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184">
        <v>0</v>
      </c>
      <c s="271"/>
      <c s="184">
        <v>0</v>
      </c>
      <c s="184"/>
      <c s="327"/>
      <c s="334"/>
      <c s="334">
        <v>0</v>
      </c>
      <c s="328"/>
      <c s="376" t="e">
        <f>#N/A</f>
        <v>#N/A</v>
      </c>
      <c s="410" t="e">
        <f>#N/A</f>
        <v>#N/A</v>
      </c>
    </row>
    <row r="75" spans="2:22" ht="17.25" customHeight="1" hidden="1" thickBot="1">
      <c r="B75" s="176"/>
      <c s="176"/>
      <c s="176"/>
      <c s="1480" t="s">
        <v>193</v>
      </c>
      <c s="1480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/>
      <c s="328"/>
      <c s="376" t="e">
        <f>#N/A</f>
        <v>#N/A</v>
      </c>
      <c s="410" t="e">
        <f>#N/A</f>
        <v>#N/A</v>
      </c>
    </row>
    <row r="76" spans="2:22" ht="12.75" customHeight="1" hidden="1" thickBot="1">
      <c r="B76" s="176"/>
      <c s="176"/>
      <c s="176"/>
      <c s="1495" t="s">
        <v>189</v>
      </c>
      <c s="1495"/>
      <c s="406" t="e">
        <f>#N/A</f>
        <v>#N/A</v>
      </c>
      <c s="271"/>
      <c s="252"/>
      <c s="252"/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>
        <v>0</v>
      </c>
      <c s="328"/>
      <c s="376" t="e">
        <f>#N/A</f>
        <v>#N/A</v>
      </c>
      <c s="410" t="e">
        <f>#N/A</f>
        <v>#N/A</v>
      </c>
    </row>
    <row r="77" spans="2:22" ht="0.75" customHeight="1" hidden="1" thickBot="1">
      <c r="B77" s="176"/>
      <c s="176"/>
      <c s="176"/>
      <c s="281" t="s">
        <v>185</v>
      </c>
      <c s="281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>
        <v>0</v>
      </c>
      <c s="328"/>
      <c s="376" t="e">
        <f>#N/A</f>
        <v>#N/A</v>
      </c>
      <c s="410" t="e">
        <f>#N/A</f>
        <v>#N/A</v>
      </c>
    </row>
    <row r="78" spans="2:22" ht="20.25" customHeight="1" hidden="1" thickBot="1">
      <c r="B78" s="176"/>
      <c s="176"/>
      <c s="176"/>
      <c s="1494" t="s">
        <v>197</v>
      </c>
      <c s="1480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/>
      <c s="328"/>
      <c s="376" t="e">
        <f>#N/A</f>
        <v>#N/A</v>
      </c>
      <c s="410" t="e">
        <f>#N/A</f>
        <v>#N/A</v>
      </c>
    </row>
    <row r="79" spans="2:22" ht="18.75" customHeight="1" hidden="1" thickBot="1">
      <c r="B79" s="176"/>
      <c s="176"/>
      <c s="176"/>
      <c s="298" t="s">
        <v>196</v>
      </c>
      <c s="299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>
        <v>0</v>
      </c>
      <c s="205"/>
      <c s="376" t="e">
        <f>#N/A</f>
        <v>#N/A</v>
      </c>
      <c s="410" t="e">
        <f>#N/A</f>
        <v>#N/A</v>
      </c>
    </row>
    <row r="80" spans="2:22" ht="17.25" customHeight="1" hidden="1" thickBot="1">
      <c r="B80" s="176"/>
      <c s="176"/>
      <c s="176"/>
      <c s="281" t="s">
        <v>199</v>
      </c>
      <c s="281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>
        <v>0</v>
      </c>
      <c s="205"/>
      <c s="376" t="e">
        <f>#N/A</f>
        <v>#N/A</v>
      </c>
      <c s="410" t="e">
        <f>#N/A</f>
        <v>#N/A</v>
      </c>
    </row>
    <row r="81" spans="2:22" ht="19.5" customHeight="1" hidden="1" thickBot="1">
      <c r="B81" s="176"/>
      <c s="176"/>
      <c s="176"/>
      <c s="281" t="s">
        <v>224</v>
      </c>
      <c s="281"/>
      <c s="406" t="e">
        <f>#N/A</f>
        <v>#N/A</v>
      </c>
      <c s="184"/>
      <c s="184"/>
      <c s="184"/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/>
      <c s="205"/>
      <c s="376" t="e">
        <f>#N/A</f>
        <v>#N/A</v>
      </c>
      <c s="410" t="e">
        <f>#N/A</f>
        <v>#N/A</v>
      </c>
    </row>
    <row r="82" spans="2:22" ht="24.75" customHeight="1" hidden="1" thickBot="1">
      <c r="B82" s="176"/>
      <c s="176"/>
      <c s="176"/>
      <c s="1496" t="s">
        <v>439</v>
      </c>
      <c s="1496"/>
      <c s="406" t="e">
        <f>#N/A</f>
        <v>#N/A</v>
      </c>
      <c s="184"/>
      <c s="184">
        <v>0</v>
      </c>
      <c s="184">
        <v>0</v>
      </c>
      <c s="284">
        <v>0</v>
      </c>
      <c s="184"/>
      <c s="184">
        <v>0</v>
      </c>
      <c s="184"/>
      <c s="184">
        <v>0</v>
      </c>
      <c s="184"/>
      <c s="327"/>
      <c s="332"/>
      <c s="332"/>
      <c s="205"/>
      <c s="376" t="e">
        <f>#N/A</f>
        <v>#N/A</v>
      </c>
      <c s="410" t="e">
        <f>#N/A</f>
        <v>#N/A</v>
      </c>
    </row>
    <row r="83" spans="2:22" ht="21" customHeight="1" hidden="1" thickBot="1">
      <c r="B83" s="176"/>
      <c s="176"/>
      <c s="176"/>
      <c s="1496" t="s">
        <v>227</v>
      </c>
      <c s="1496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/>
      <c s="205"/>
      <c s="376"/>
      <c s="410" t="e">
        <f>#N/A</f>
        <v>#N/A</v>
      </c>
    </row>
    <row r="84" spans="2:22" ht="22.5" customHeight="1" hidden="1" thickBot="1">
      <c r="B84" s="176"/>
      <c s="176"/>
      <c s="176"/>
      <c s="1496" t="s">
        <v>228</v>
      </c>
      <c s="1496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/>
      <c s="205"/>
      <c s="376"/>
      <c s="410" t="e">
        <f>#N/A</f>
        <v>#N/A</v>
      </c>
    </row>
    <row r="85" spans="2:24" ht="24.75" customHeight="1" thickBot="1">
      <c r="B85" s="176"/>
      <c s="176"/>
      <c s="176" t="s">
        <v>60</v>
      </c>
      <c s="1480" t="s">
        <v>455</v>
      </c>
      <c s="1480"/>
      <c s="406" t="e">
        <f>SUM(I85:K85)</f>
        <v>#REF!</v>
      </c>
      <c s="311"/>
      <c s="312" t="e">
        <f>'REGISTROS CARGOS DEL DIA'!#REF!</f>
        <v>#REF!</v>
      </c>
      <c s="312" t="e">
        <f>'REGISTROS CARGOS DEL DIA'!#REF!</f>
        <v>#REF!</v>
      </c>
      <c s="312" t="e">
        <f>'REGISTROS CARGOS DEL DIA'!#REF!</f>
        <v>#REF!</v>
      </c>
      <c s="311"/>
      <c s="312"/>
      <c s="311"/>
      <c s="312" t="e">
        <f>'REGISTROS CARGOS DEL DIA'!#REF!</f>
        <v>#REF!</v>
      </c>
      <c s="312">
        <v>0</v>
      </c>
      <c s="329"/>
      <c s="337"/>
      <c s="337"/>
      <c s="329"/>
      <c s="340" t="e">
        <f>SUM(M85:S85)</f>
        <v>#REF!</v>
      </c>
      <c s="410" t="e">
        <f>#N/A</f>
        <v>#N/A</v>
      </c>
      <c r="X85" s="316"/>
    </row>
    <row r="86" spans="2:22" ht="23.25" customHeight="1" hidden="1" thickBot="1">
      <c r="B86" s="176"/>
      <c s="176"/>
      <c s="176"/>
      <c s="1496" t="s">
        <v>435</v>
      </c>
      <c s="1496"/>
      <c s="411">
        <f>SUM(I86:K86)</f>
        <v>0</v>
      </c>
      <c s="313"/>
      <c s="383">
        <v>0</v>
      </c>
      <c s="383">
        <v>0</v>
      </c>
      <c s="383">
        <v>0</v>
      </c>
      <c s="314"/>
      <c s="383">
        <f>SUM(M66:M84)</f>
        <v>0</v>
      </c>
      <c s="313"/>
      <c s="383" t="e">
        <f>SUM(O66:O84)</f>
        <v>#REF!</v>
      </c>
      <c s="383">
        <f>SUM(P66:P84)</f>
        <v>0</v>
      </c>
      <c s="384"/>
      <c s="385"/>
      <c s="385">
        <f>SUM(S83:S84)</f>
        <v>0</v>
      </c>
      <c s="314"/>
      <c s="386"/>
      <c s="481" t="e">
        <f>SUM(V66:V84)</f>
        <v>#N/A</v>
      </c>
    </row>
    <row r="87" spans="2:22" ht="22.5" customHeight="1" hidden="1" thickBot="1">
      <c r="B87" s="176"/>
      <c s="176"/>
      <c s="176"/>
      <c s="1496" t="s">
        <v>436</v>
      </c>
      <c s="1496"/>
      <c s="411">
        <f>SUM(I87:K87)</f>
        <v>0</v>
      </c>
      <c s="313"/>
      <c s="383">
        <v>0</v>
      </c>
      <c s="383">
        <v>0</v>
      </c>
      <c s="383">
        <v>0</v>
      </c>
      <c s="314"/>
      <c s="383">
        <f>SUM(M67:M85)</f>
        <v>0</v>
      </c>
      <c s="313"/>
      <c s="383" t="e">
        <f>SUM(O67:O85)</f>
        <v>#REF!</v>
      </c>
      <c s="383">
        <f>SUM(P67:P85)</f>
        <v>0</v>
      </c>
      <c s="384"/>
      <c s="385"/>
      <c s="385">
        <f>SUM(S84:S85)</f>
        <v>0</v>
      </c>
      <c s="314"/>
      <c s="386"/>
      <c s="481" t="e">
        <f>SUM(V67:V85)</f>
        <v>#N/A</v>
      </c>
    </row>
    <row r="88" spans="2:22" ht="21" customHeight="1" hidden="1" thickBot="1">
      <c r="B88" s="176"/>
      <c s="176"/>
      <c s="176"/>
      <c s="1496" t="s">
        <v>409</v>
      </c>
      <c s="1496"/>
      <c s="406" t="e">
        <f>#N/A</f>
        <v>#N/A</v>
      </c>
      <c s="246"/>
      <c s="184">
        <v>0</v>
      </c>
      <c s="184">
        <v>0</v>
      </c>
      <c s="184">
        <v>0</v>
      </c>
      <c s="184"/>
      <c s="184">
        <v>0</v>
      </c>
      <c s="246"/>
      <c s="184"/>
      <c s="184"/>
      <c s="327"/>
      <c s="332"/>
      <c s="332"/>
      <c s="205"/>
      <c s="376"/>
      <c s="410" t="e">
        <f>#N/A</f>
        <v>#N/A</v>
      </c>
    </row>
    <row r="89" spans="2:22" ht="20.25" customHeight="1" hidden="1" thickBot="1">
      <c r="B89" s="176"/>
      <c s="176"/>
      <c s="176"/>
      <c s="1484" t="s">
        <v>410</v>
      </c>
      <c s="1485"/>
      <c s="406" t="e">
        <f>#N/A</f>
        <v>#N/A</v>
      </c>
      <c s="246"/>
      <c s="184">
        <v>0</v>
      </c>
      <c s="184">
        <v>0</v>
      </c>
      <c s="184">
        <v>0</v>
      </c>
      <c s="184"/>
      <c s="184"/>
      <c s="246"/>
      <c s="184"/>
      <c s="184"/>
      <c s="327"/>
      <c s="332"/>
      <c s="332"/>
      <c s="205"/>
      <c s="376"/>
      <c s="410"/>
    </row>
    <row r="90" spans="2:22" ht="24" customHeight="1" hidden="1" thickBot="1">
      <c r="B90" s="176"/>
      <c s="176"/>
      <c s="176"/>
      <c s="1484" t="s">
        <v>432</v>
      </c>
      <c s="1485"/>
      <c s="406">
        <f>SUM(I90:K90)</f>
        <v>0</v>
      </c>
      <c s="246"/>
      <c s="184">
        <v>0</v>
      </c>
      <c s="184">
        <v>0</v>
      </c>
      <c s="184">
        <v>0</v>
      </c>
      <c s="184"/>
      <c s="184">
        <v>0</v>
      </c>
      <c s="246"/>
      <c s="184"/>
      <c s="184"/>
      <c s="327"/>
      <c s="332"/>
      <c s="332"/>
      <c s="205"/>
      <c s="376"/>
      <c s="410">
        <f>K90+M90+P90</f>
        <v>0</v>
      </c>
    </row>
    <row r="91" spans="2:25" ht="18.75" customHeight="1" hidden="1" thickBot="1">
      <c r="B91" s="176"/>
      <c s="176"/>
      <c s="176"/>
      <c s="500" t="s">
        <v>402</v>
      </c>
      <c s="601"/>
      <c s="406" t="e">
        <f>#N/A</f>
        <v>#N/A</v>
      </c>
      <c s="246"/>
      <c s="184">
        <v>0</v>
      </c>
      <c s="184">
        <v>0</v>
      </c>
      <c s="184">
        <v>0</v>
      </c>
      <c s="246"/>
      <c s="184">
        <v>0</v>
      </c>
      <c s="246"/>
      <c s="184"/>
      <c s="184"/>
      <c s="327"/>
      <c s="332"/>
      <c s="332"/>
      <c s="327"/>
      <c s="339"/>
      <c s="410" t="e">
        <f>#N/A</f>
        <v>#N/A</v>
      </c>
      <c r="Y91" s="484"/>
    </row>
    <row r="92" spans="2:25" ht="26.25" customHeight="1" hidden="1" thickBot="1">
      <c r="B92" s="176"/>
      <c s="176"/>
      <c s="176"/>
      <c s="500" t="s">
        <v>357</v>
      </c>
      <c s="501"/>
      <c s="406">
        <f>SUM(I92:K92)</f>
        <v>0</v>
      </c>
      <c s="246"/>
      <c s="184"/>
      <c s="184">
        <v>0</v>
      </c>
      <c s="184">
        <v>0</v>
      </c>
      <c s="246"/>
      <c s="184"/>
      <c s="246"/>
      <c s="184"/>
      <c s="184"/>
      <c s="327"/>
      <c s="332"/>
      <c s="332"/>
      <c s="327"/>
      <c s="376"/>
      <c s="410" t="e">
        <f>#N/A</f>
        <v>#N/A</v>
      </c>
      <c r="Y92" s="484" t="e">
        <f>V59+V60+V61</f>
        <v>#N/A</v>
      </c>
    </row>
    <row r="93" spans="2:25" ht="30.75" customHeight="1" hidden="1">
      <c r="B93" s="176"/>
      <c s="176"/>
      <c s="176"/>
      <c s="500" t="s">
        <v>445</v>
      </c>
      <c s="501"/>
      <c s="406">
        <f>SUM(I93:K93)</f>
        <v>0</v>
      </c>
      <c s="246"/>
      <c s="184">
        <v>0</v>
      </c>
      <c s="184">
        <v>0</v>
      </c>
      <c s="184">
        <v>0</v>
      </c>
      <c s="246"/>
      <c s="184">
        <v>0</v>
      </c>
      <c s="246"/>
      <c s="184"/>
      <c s="184"/>
      <c s="327"/>
      <c s="332"/>
      <c s="332"/>
      <c s="327"/>
      <c s="339"/>
      <c s="410" t="e">
        <f>#N/A</f>
        <v>#N/A</v>
      </c>
      <c r="Y93" s="486" t="e">
        <f>V64+V87+V92+V93</f>
        <v>#N/A</v>
      </c>
    </row>
    <row r="94" spans="1:25" ht="31.5" customHeight="1" thickBot="1">
      <c r="A94" s="195"/>
      <c s="180"/>
      <c s="180"/>
      <c s="180"/>
      <c s="364" t="s">
        <v>284</v>
      </c>
      <c s="149"/>
      <c s="413" t="e">
        <f>SUM(I94:K94)</f>
        <v>#N/A</v>
      </c>
      <c s="427"/>
      <c s="414" t="e">
        <f>I63-I64-I67-I85-I93-I87-I86-I82</f>
        <v>#N/A</v>
      </c>
      <c s="414" t="e">
        <f>J63-J64-J67-J85-J93-J87-J86-J82</f>
        <v>#N/A</v>
      </c>
      <c s="414" t="e">
        <f>K63-K64-K67-K85-K93-K87-K86-K82</f>
        <v>#REF!</v>
      </c>
      <c s="428"/>
      <c s="414" t="e">
        <f>M63-M64</f>
        <v>#REF!</v>
      </c>
      <c s="429"/>
      <c s="414" t="e">
        <f>O63-O64-O87</f>
        <v>#REF!</v>
      </c>
      <c s="414" t="e">
        <f>P63-P64-P87</f>
        <v>#N/A</v>
      </c>
      <c s="415"/>
      <c s="414" t="e">
        <f>R63-R64-R87</f>
        <v>#REF!</v>
      </c>
      <c s="413" t="e">
        <f>S63-S64-S87</f>
        <v>#N/A</v>
      </c>
      <c s="478"/>
      <c s="416" t="e">
        <f>U63-U64-U87</f>
        <v>#N/A</v>
      </c>
      <c s="417" t="e">
        <f>V63-V64-V87-V91-V92-V93</f>
        <v>#N/A</v>
      </c>
      <c r="Y94" s="483" t="e">
        <f>Y92-Y93</f>
        <v>#N/A</v>
      </c>
    </row>
    <row r="95" spans="1:22" ht="21" customHeight="1" thickTop="1">
      <c r="A95" s="191"/>
      <c s="176"/>
      <c s="176"/>
      <c s="176"/>
      <c s="197"/>
      <c s="179"/>
      <c s="266"/>
      <c s="179"/>
      <c s="179"/>
      <c s="179"/>
      <c s="194"/>
      <c s="194"/>
      <c s="193">
        <v>0</v>
      </c>
      <c s="193"/>
      <c s="193"/>
      <c s="193"/>
      <c s="193"/>
      <c s="193"/>
      <c s="191"/>
      <c s="191"/>
      <c r="V95" s="181"/>
    </row>
    <row r="96" spans="1:22" ht="15" customHeight="1" hidden="1">
      <c r="A96" s="191"/>
      <c s="176"/>
      <c s="176"/>
      <c s="176"/>
      <c s="197"/>
      <c s="179"/>
      <c s="266"/>
      <c s="179"/>
      <c s="179"/>
      <c s="179"/>
      <c s="194"/>
      <c s="194"/>
      <c s="193"/>
      <c s="193"/>
      <c s="193"/>
      <c s="193"/>
      <c s="193"/>
      <c s="193"/>
      <c s="191"/>
      <c s="191"/>
      <c r="V96" s="181"/>
    </row>
    <row r="97" spans="1:25" ht="23.25" customHeight="1">
      <c r="A97" s="191"/>
      <c s="176"/>
      <c s="176"/>
      <c s="176"/>
      <c s="197"/>
      <c s="294" t="s">
        <v>60</v>
      </c>
      <c s="266"/>
      <c s="179"/>
      <c s="179"/>
      <c s="179"/>
      <c s="179"/>
      <c s="194"/>
      <c s="193"/>
      <c s="193"/>
      <c s="193"/>
      <c s="193"/>
      <c s="193"/>
      <c s="193"/>
      <c s="289"/>
      <c s="191"/>
      <c r="V97" s="181"/>
      <c r="Y97" s="172"/>
    </row>
    <row r="98" spans="4:22" s="591" customFormat="1" ht="39.75" customHeight="1">
      <c r="D98" s="619" t="s">
        <v>406</v>
      </c>
      <c s="620" t="s">
        <v>223</v>
      </c>
      <c s="621"/>
      <c s="622"/>
      <c s="621"/>
      <c s="621"/>
      <c s="621"/>
      <c s="621"/>
      <c s="623"/>
      <c s="621"/>
      <c s="621"/>
      <c s="621"/>
      <c s="621"/>
      <c s="621"/>
      <c s="621"/>
      <c s="624"/>
      <c r="V98" s="625"/>
    </row>
    <row r="99" spans="1:22" ht="22.5" customHeight="1">
      <c r="A99" s="191"/>
      <c r="D99" s="295"/>
      <c s="197"/>
      <c s="294"/>
      <c s="266"/>
      <c s="179"/>
      <c s="294"/>
      <c s="294"/>
      <c s="179"/>
      <c s="194"/>
      <c s="193"/>
      <c s="193"/>
      <c s="193"/>
      <c s="365"/>
      <c s="365"/>
      <c s="365"/>
      <c s="289"/>
      <c s="191"/>
      <c r="V99" s="181"/>
    </row>
    <row r="100" spans="7:7" ht="12.75">
      <c r="G100" s="262"/>
    </row>
    <row r="101" spans="7:9" ht="12.75">
      <c r="G101" s="172"/>
      <c r="I101" s="262"/>
    </row>
    <row r="102" spans="9:9" ht="12.75">
      <c r="I102" s="262"/>
    </row>
    <row r="103" spans="7:9" ht="12.75">
      <c r="G103" s="172"/>
      <c r="I103" s="262"/>
    </row>
    <row r="104" spans="9:9" ht="12.75">
      <c r="I104" s="262"/>
    </row>
    <row r="105" spans="7:9" ht="12.75">
      <c r="G105" s="172"/>
      <c r="I105" s="262"/>
    </row>
    <row r="106" spans="9:9" ht="12.75">
      <c r="I106" s="262"/>
    </row>
    <row r="107" spans="7:9" ht="12.75">
      <c r="G107" s="172"/>
      <c r="I107" s="262"/>
    </row>
    <row r="108" spans="9:9" ht="12.75">
      <c r="I108" s="262"/>
    </row>
  </sheetData>
  <mergeCells count="47">
    <mergeCell ref="E88:F88"/>
    <mergeCell ref="E89:F89"/>
    <mergeCell ref="E90:F90"/>
    <mergeCell ref="E82:F82"/>
    <mergeCell ref="E83:F83"/>
    <mergeCell ref="E84:F84"/>
    <mergeCell ref="E85:F85"/>
    <mergeCell ref="E86:F86"/>
    <mergeCell ref="E87:F87"/>
    <mergeCell ref="E70:F70"/>
    <mergeCell ref="E71:F71"/>
    <mergeCell ref="E72:F72"/>
    <mergeCell ref="E73:F73"/>
    <mergeCell ref="E74:F74"/>
    <mergeCell ref="E78:F78"/>
    <mergeCell ref="E75:F75"/>
    <mergeCell ref="E76:F76"/>
    <mergeCell ref="E59:F59"/>
    <mergeCell ref="E62:F62"/>
    <mergeCell ref="E63:F63"/>
    <mergeCell ref="E65:F65"/>
    <mergeCell ref="E66:F66"/>
    <mergeCell ref="E67:F67"/>
    <mergeCell ref="E64:F64"/>
    <mergeCell ref="E68:F68"/>
    <mergeCell ref="T8:T9"/>
    <mergeCell ref="E46:F46"/>
    <mergeCell ref="E48:F48"/>
    <mergeCell ref="E49:F49"/>
    <mergeCell ref="E50:F50"/>
    <mergeCell ref="E51:F51"/>
    <mergeCell ref="E52:F52"/>
    <mergeCell ref="E53:F53"/>
    <mergeCell ref="E54:R54"/>
    <mergeCell ref="A8:A9"/>
    <mergeCell ref="B8:B9"/>
    <mergeCell ref="C8:C9"/>
    <mergeCell ref="D8:D9"/>
    <mergeCell ref="I8:K8"/>
    <mergeCell ref="P8:S8"/>
    <mergeCell ref="A2:T2"/>
    <mergeCell ref="A3:T3"/>
    <mergeCell ref="A4:T4"/>
    <mergeCell ref="A5:T5"/>
    <mergeCell ref="A6:T6"/>
    <mergeCell ref="A7:M7"/>
    <mergeCell ref="P7:S7"/>
  </mergeCells>
  <pageMargins left="0.7" right="0.7" top="0.75" bottom="0.75" header="0.3" footer="0.3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AH125"/>
  <sheetViews>
    <sheetView workbookViewId="0" topLeftCell="A73">
      <selection pane="topLeft" activeCell="E110" sqref="E110"/>
    </sheetView>
  </sheetViews>
  <sheetFormatPr defaultRowHeight="12.75"/>
  <cols>
    <col min="1" max="1" width="10.5714285714286" style="154" customWidth="1"/>
    <col min="2" max="2" width="11" style="154" customWidth="1"/>
    <col min="3" max="4" width="11.7142857142857" style="154" customWidth="1"/>
    <col min="5" max="5" width="89" style="154" customWidth="1"/>
    <col min="6" max="6" width="16.5714285714286" style="154" customWidth="1"/>
    <col min="7" max="7" width="30.1428571428571" style="154" customWidth="1"/>
    <col min="8" max="8" width="1" style="154" customWidth="1"/>
    <col min="9" max="9" width="29" style="154" customWidth="1"/>
    <col min="10" max="10" width="27.4285714285714" style="154" customWidth="1"/>
    <col min="11" max="11" width="32.1428571428571" style="154" customWidth="1"/>
    <col min="12" max="12" width="0.571428571428571" style="154" customWidth="1"/>
    <col min="13" max="13" width="32.8571428571429" style="154" customWidth="1"/>
    <col min="14" max="14" width="0.571428571428571" style="154" customWidth="1"/>
    <col min="15" max="15" width="30.5714285714286" style="154" customWidth="1"/>
    <col min="16" max="16" width="34" style="154" customWidth="1"/>
    <col min="17" max="17" width="0.142857142857143" style="154" customWidth="1"/>
    <col min="18" max="18" width="28.7142857142857" style="154" customWidth="1"/>
    <col min="19" max="19" width="23.5714285714286" style="154" customWidth="1"/>
    <col min="20" max="20" width="0.285714285714286" style="154" customWidth="1"/>
    <col min="21" max="21" width="22" style="154" customWidth="1"/>
    <col min="22" max="22" width="39.1428571428571" style="154" customWidth="1"/>
    <col min="23" max="23" width="11.4285714285714" style="154"/>
    <col min="24" max="24" width="11.4285714285714" style="154" customWidth="1"/>
    <col min="25" max="25" width="34" style="154" customWidth="1"/>
    <col min="26" max="16384" width="11.4285714285714" style="154"/>
  </cols>
  <sheetData>
    <row r="1" spans="1:23" ht="54" customHeight="1">
      <c r="A1" s="324" t="s">
        <v>60</v>
      </c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  <c s="324"/>
    </row>
    <row r="2" spans="1:20" ht="30">
      <c r="A2" s="1468" t="s">
        <v>58</v>
      </c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  <c s="1468"/>
    </row>
    <row r="3" spans="1:20" ht="26.25">
      <c r="A3" s="1469" t="s">
        <v>374</v>
      </c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</row>
    <row r="4" spans="1:20" ht="26.25">
      <c r="A4" s="1469" t="s">
        <v>365</v>
      </c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  <c s="1469"/>
    </row>
    <row r="5" spans="1:20" ht="20.25">
      <c r="A5" s="1470" t="str">
        <f>'REGISTRO TRAMITES DEL DIA '!A3:J3</f>
        <v>Reportes de los Ingresos según Ley No. 36 y Resolución No. 02-05; 02-06 de los Cobros BanReservas , Caja General y SIRITE al 30/11/2024</v>
      </c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</row>
    <row r="6" spans="1:20" ht="20.25">
      <c r="A6" s="1470" t="s">
        <v>375</v>
      </c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  <c s="1470"/>
    </row>
    <row r="7" spans="1:21" ht="59.25" customHeight="1" thickBot="1">
      <c r="A7" s="1471"/>
      <c s="1471"/>
      <c s="1471"/>
      <c s="1471"/>
      <c s="1471"/>
      <c s="1471"/>
      <c s="1471"/>
      <c s="1471"/>
      <c s="1471"/>
      <c s="1471"/>
      <c s="1471"/>
      <c s="1471"/>
      <c r="O7" s="1472"/>
      <c s="1472"/>
      <c s="1472"/>
      <c s="1472"/>
      <c s="1472"/>
      <c s="1472"/>
      <c s="325"/>
    </row>
    <row r="8" spans="1:22" ht="62.25" customHeight="1" thickBot="1">
      <c r="A8" s="1473" t="s">
        <v>38</v>
      </c>
      <c s="1475" t="s">
        <v>277</v>
      </c>
      <c s="1475" t="s">
        <v>276</v>
      </c>
      <c s="1475" t="s">
        <v>307</v>
      </c>
      <c s="370"/>
      <c s="370"/>
      <c s="370"/>
      <c s="369"/>
      <c s="1477" t="s">
        <v>168</v>
      </c>
      <c s="1478"/>
      <c s="1479"/>
      <c s="373"/>
      <c s="371" t="s">
        <v>282</v>
      </c>
      <c s="321"/>
      <c s="372" t="s">
        <v>309</v>
      </c>
      <c s="1477" t="s">
        <v>308</v>
      </c>
      <c s="1478"/>
      <c s="1478"/>
      <c s="1478"/>
      <c s="1478"/>
      <c s="1478"/>
      <c s="1481" t="s">
        <v>160</v>
      </c>
    </row>
    <row r="9" spans="1:22" ht="76.5" customHeight="1" thickBot="1">
      <c r="A9" s="1474"/>
      <c s="1476"/>
      <c s="1476"/>
      <c s="1476"/>
      <c s="396" t="s">
        <v>40</v>
      </c>
      <c s="401" t="s">
        <v>157</v>
      </c>
      <c s="404" t="s">
        <v>186</v>
      </c>
      <c s="422"/>
      <c s="368" t="s">
        <v>278</v>
      </c>
      <c s="368" t="s">
        <v>279</v>
      </c>
      <c s="368" t="s">
        <v>280</v>
      </c>
      <c s="366"/>
      <c s="368" t="s">
        <v>281</v>
      </c>
      <c s="366"/>
      <c s="368" t="s">
        <v>172</v>
      </c>
      <c s="368" t="s">
        <v>281</v>
      </c>
      <c s="368" t="s">
        <v>12</v>
      </c>
      <c s="368" t="s">
        <v>278</v>
      </c>
      <c s="368" t="s">
        <v>279</v>
      </c>
      <c s="367" t="s">
        <v>243</v>
      </c>
      <c s="374" t="s">
        <v>247</v>
      </c>
      <c s="1482"/>
    </row>
    <row r="10" spans="1:22" s="177" customFormat="1" ht="30" customHeight="1" thickBot="1">
      <c r="A10" s="323" t="s">
        <v>42</v>
      </c>
      <c s="320">
        <f>'REGISTRO TRAMITES DEL DIA '!B16</f>
        <v>21</v>
      </c>
      <c s="320">
        <v>0</v>
      </c>
      <c s="320">
        <f>'REGISTRO TRAMITES DEL DIA '!B53</f>
        <v>0</v>
      </c>
      <c s="397" t="s">
        <v>0</v>
      </c>
      <c s="402">
        <v>6240</v>
      </c>
      <c s="187">
        <f>B10*F10</f>
        <v>131040</v>
      </c>
      <c s="245"/>
      <c s="185">
        <f>B10*2200</f>
        <v>46200</v>
      </c>
      <c s="185">
        <f>B10*800</f>
        <v>16800</v>
      </c>
      <c s="185">
        <f>G10-I10-J10</f>
        <v>68040</v>
      </c>
      <c s="245"/>
      <c s="185"/>
      <c s="245"/>
      <c s="322">
        <f>D10*F10</f>
        <v>0</v>
      </c>
      <c s="319" t="e">
        <f>#N/A</f>
        <v>#N/A</v>
      </c>
      <c s="185">
        <f>D10*2200</f>
        <v>0</v>
      </c>
      <c s="185">
        <f>D10*2200</f>
        <v>0</v>
      </c>
      <c s="185">
        <f>D10*800</f>
        <v>0</v>
      </c>
      <c s="185"/>
      <c s="423" t="e">
        <f>#N/A</f>
        <v>#N/A</v>
      </c>
      <c s="426" t="e">
        <f>#N/A</f>
        <v>#N/A</v>
      </c>
    </row>
    <row r="11" spans="1:22" s="177" customFormat="1" ht="30" customHeight="1" thickBot="1">
      <c r="A11" s="323" t="s">
        <v>43</v>
      </c>
      <c s="320">
        <f>'REGISTRO TRAMITES DEL DIA '!C16</f>
        <v>97</v>
      </c>
      <c s="320">
        <v>0</v>
      </c>
      <c s="320">
        <f>'REGISTRO TRAMITES DEL DIA '!C53</f>
        <v>210</v>
      </c>
      <c s="398" t="s">
        <v>176</v>
      </c>
      <c s="402">
        <v>11240</v>
      </c>
      <c s="189">
        <f>B11*F11</f>
        <v>1090280</v>
      </c>
      <c s="245"/>
      <c s="185">
        <f>B11*2200</f>
        <v>213400</v>
      </c>
      <c s="185">
        <f>B11*800</f>
        <v>77600</v>
      </c>
      <c s="185" t="e">
        <f>#N/A</f>
        <v>#N/A</v>
      </c>
      <c s="245"/>
      <c s="185"/>
      <c s="245"/>
      <c s="322" t="e">
        <f>#N/A</f>
        <v>#N/A</v>
      </c>
      <c s="319" t="e">
        <f>#N/A</f>
        <v>#N/A</v>
      </c>
      <c s="185">
        <v>0</v>
      </c>
      <c s="185">
        <f>D11*2200</f>
        <v>462000</v>
      </c>
      <c s="185">
        <f>D11*800</f>
        <v>168000</v>
      </c>
      <c s="185"/>
      <c s="423" t="e">
        <f>#N/A</f>
        <v>#N/A</v>
      </c>
      <c s="426" t="e">
        <f>#N/A</f>
        <v>#N/A</v>
      </c>
    </row>
    <row r="12" spans="1:22" s="177" customFormat="1" ht="30" customHeight="1" thickBot="1">
      <c r="A12" s="323" t="s">
        <v>45</v>
      </c>
      <c s="320">
        <f>'REGISTRO TRAMITES DEL DIA '!D16</f>
        <v>4830</v>
      </c>
      <c s="320">
        <v>0</v>
      </c>
      <c s="320">
        <f>'REGISTRO TRAMITES DEL DIA '!D53</f>
        <v>1233</v>
      </c>
      <c s="398" t="s">
        <v>177</v>
      </c>
      <c s="402">
        <v>4940</v>
      </c>
      <c s="189" t="e">
        <f>#N/A</f>
        <v>#N/A</v>
      </c>
      <c s="245"/>
      <c s="185">
        <f>B12*2200</f>
        <v>10626000</v>
      </c>
      <c s="185"/>
      <c s="185" t="e">
        <f>#N/A</f>
        <v>#N/A</v>
      </c>
      <c s="245"/>
      <c s="185"/>
      <c s="245"/>
      <c s="322" t="e">
        <f>#N/A</f>
        <v>#N/A</v>
      </c>
      <c s="319" t="e">
        <f>O12-R12-S12-U12</f>
        <v>#N/A</v>
      </c>
      <c s="185">
        <v>0</v>
      </c>
      <c s="185">
        <f>D12*2200</f>
        <v>2712600</v>
      </c>
      <c s="185"/>
      <c s="185"/>
      <c s="423" t="e">
        <f>#N/A</f>
        <v>#N/A</v>
      </c>
      <c s="426" t="e">
        <f>#N/A</f>
        <v>#N/A</v>
      </c>
    </row>
    <row r="13" spans="1:22" s="177" customFormat="1" ht="33" customHeight="1" thickBot="1">
      <c r="A13" s="323" t="s">
        <v>47</v>
      </c>
      <c s="320">
        <f>'REGISTRO TRAMITES DEL DIA '!E16</f>
        <v>0</v>
      </c>
      <c s="320">
        <v>0</v>
      </c>
      <c s="320">
        <f>'REGISTRO TRAMITES DEL DIA '!E53</f>
        <v>0</v>
      </c>
      <c s="398" t="s">
        <v>178</v>
      </c>
      <c s="402">
        <v>4615</v>
      </c>
      <c s="189" t="e">
        <f>#N/A</f>
        <v>#N/A</v>
      </c>
      <c s="245"/>
      <c s="185">
        <f>B13*2075</f>
        <v>0</v>
      </c>
      <c s="185">
        <f>B13*800</f>
        <v>0</v>
      </c>
      <c s="185" t="e">
        <f>#N/A</f>
        <v>#N/A</v>
      </c>
      <c s="245"/>
      <c s="185"/>
      <c s="245"/>
      <c s="322" t="e">
        <f>#N/A</f>
        <v>#N/A</v>
      </c>
      <c s="319" t="e">
        <f>#N/A</f>
        <v>#N/A</v>
      </c>
      <c s="185">
        <f>D13*2200</f>
        <v>0</v>
      </c>
      <c s="185">
        <f>D13*2075</f>
        <v>0</v>
      </c>
      <c s="185"/>
      <c s="185"/>
      <c s="423" t="e">
        <f>#N/A</f>
        <v>#N/A</v>
      </c>
      <c s="426" t="e">
        <f>#N/A</f>
        <v>#N/A</v>
      </c>
    </row>
    <row r="14" spans="1:22" s="177" customFormat="1" ht="30" customHeight="1" thickBot="1">
      <c r="A14" s="323" t="s">
        <v>49</v>
      </c>
      <c s="320">
        <f>'REGISTRO TRAMITES DEL DIA '!G16</f>
        <v>1</v>
      </c>
      <c s="320">
        <v>0</v>
      </c>
      <c s="320">
        <f>'REGISTRO TRAMITES DEL DIA '!G30</f>
        <v>0</v>
      </c>
      <c s="398" t="s">
        <v>179</v>
      </c>
      <c s="402">
        <v>2840</v>
      </c>
      <c s="189" t="e">
        <f>#N/A</f>
        <v>#N/A</v>
      </c>
      <c s="245"/>
      <c s="185"/>
      <c s="185">
        <f>B14*800</f>
        <v>800</v>
      </c>
      <c s="185" t="e">
        <f>#N/A</f>
        <v>#N/A</v>
      </c>
      <c s="245"/>
      <c s="185"/>
      <c s="245"/>
      <c s="322" t="e">
        <f>#N/A</f>
        <v>#N/A</v>
      </c>
      <c s="319" t="e">
        <f>#N/A</f>
        <v>#N/A</v>
      </c>
      <c s="185">
        <f>D14*2200</f>
        <v>0</v>
      </c>
      <c s="185"/>
      <c s="184"/>
      <c s="185"/>
      <c s="423" t="e">
        <f>#N/A</f>
        <v>#N/A</v>
      </c>
      <c s="426" t="e">
        <f>#N/A</f>
        <v>#N/A</v>
      </c>
    </row>
    <row r="15" spans="1:22" s="177" customFormat="1" ht="30" customHeight="1" thickBot="1">
      <c r="A15" s="323" t="s">
        <v>51</v>
      </c>
      <c s="320">
        <f>'REGISTRO TRAMITES DEL DIA '!H16</f>
        <v>19</v>
      </c>
      <c s="320">
        <v>0</v>
      </c>
      <c s="320">
        <f>'REGISTRO TRAMITES DEL DIA '!H30</f>
        <v>4</v>
      </c>
      <c s="398" t="s">
        <v>1</v>
      </c>
      <c s="402">
        <v>500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#N/A</f>
        <v>#N/A</v>
      </c>
      <c s="185"/>
      <c s="185"/>
      <c s="185"/>
      <c s="185"/>
      <c s="423" t="e">
        <f>#N/A</f>
        <v>#N/A</v>
      </c>
      <c s="426" t="e">
        <f>#N/A</f>
        <v>#N/A</v>
      </c>
    </row>
    <row r="16" spans="1:22" s="177" customFormat="1" ht="30" customHeight="1" thickBot="1">
      <c r="A16" s="323" t="s">
        <v>52</v>
      </c>
      <c s="320">
        <f>'REGISTRO TRAMITES DEL DIA '!F16</f>
        <v>0</v>
      </c>
      <c s="320">
        <v>0</v>
      </c>
      <c s="320">
        <v>0</v>
      </c>
      <c s="398" t="s">
        <v>180</v>
      </c>
      <c s="402">
        <v>2840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#N/A</f>
        <v>#N/A</v>
      </c>
      <c s="185"/>
      <c s="185"/>
      <c s="185"/>
      <c s="185"/>
      <c s="423" t="e">
        <f>#N/A</f>
        <v>#N/A</v>
      </c>
      <c s="426" t="e">
        <f>#N/A</f>
        <v>#N/A</v>
      </c>
    </row>
    <row r="17" spans="1:22" s="177" customFormat="1" ht="30" customHeight="1" thickBot="1">
      <c r="A17" s="323" t="s">
        <v>54</v>
      </c>
      <c s="320">
        <f>'REGISTRO TRAMITES DEL DIA '!I16</f>
        <v>66</v>
      </c>
      <c s="320">
        <v>0</v>
      </c>
      <c s="320">
        <f>'REGISTRO TRAMITES DEL DIA '!I53</f>
        <v>17</v>
      </c>
      <c s="398" t="s">
        <v>3</v>
      </c>
      <c s="402">
        <v>700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#N/A</f>
        <v>#N/A</v>
      </c>
      <c s="185"/>
      <c s="185"/>
      <c s="185"/>
      <c s="185"/>
      <c s="423" t="e">
        <f>#N/A</f>
        <v>#N/A</v>
      </c>
      <c s="426" t="e">
        <f>#N/A</f>
        <v>#N/A</v>
      </c>
    </row>
    <row r="18" spans="1:22" s="177" customFormat="1" ht="30" customHeight="1" thickBot="1">
      <c r="A18" s="323" t="s">
        <v>55</v>
      </c>
      <c s="320">
        <f>'REGISTRO TRAMITES DEL DIA '!J16</f>
        <v>4338</v>
      </c>
      <c s="320">
        <v>0</v>
      </c>
      <c s="320">
        <f>'REGISTRO TRAMITES DEL DIA '!J53</f>
        <v>943</v>
      </c>
      <c s="399" t="s">
        <v>138</v>
      </c>
      <c s="402">
        <v>700</v>
      </c>
      <c s="189" t="e">
        <f>#N/A</f>
        <v>#N/A</v>
      </c>
      <c s="245"/>
      <c s="185"/>
      <c s="185"/>
      <c s="185" t="e">
        <f>#N/A</f>
        <v>#N/A</v>
      </c>
      <c s="245"/>
      <c s="238"/>
      <c s="321"/>
      <c s="322" t="e">
        <f>#N/A</f>
        <v>#N/A</v>
      </c>
      <c s="319" t="e">
        <f>O18-Q18-S18-U18</f>
        <v>#N/A</v>
      </c>
      <c s="185"/>
      <c s="185" t="s">
        <v>60</v>
      </c>
      <c s="185"/>
      <c s="185"/>
      <c s="423" t="e">
        <f>#N/A</f>
        <v>#N/A</v>
      </c>
      <c s="426" t="e">
        <f>#N/A</f>
        <v>#N/A</v>
      </c>
    </row>
    <row r="19" spans="1:22" s="1" customFormat="1" ht="30" customHeight="1" thickBot="1">
      <c r="A19" s="323" t="s">
        <v>133</v>
      </c>
      <c s="320">
        <f>'REGISTRO TRAMITES DEL DIA '!K16</f>
        <v>2</v>
      </c>
      <c s="320">
        <v>0</v>
      </c>
      <c s="320">
        <f>'REGISTRO TRAMITES DEL DIA '!K30</f>
        <v>1</v>
      </c>
      <c s="399" t="s">
        <v>139</v>
      </c>
      <c s="403">
        <v>4615</v>
      </c>
      <c s="189" t="e">
        <f>#N/A</f>
        <v>#N/A</v>
      </c>
      <c s="245"/>
      <c s="185">
        <f>B19*2075</f>
        <v>4150</v>
      </c>
      <c s="185">
        <f>B19*800</f>
        <v>1600</v>
      </c>
      <c s="185" t="e">
        <f>#N/A</f>
        <v>#N/A</v>
      </c>
      <c s="245"/>
      <c s="285"/>
      <c s="321"/>
      <c s="322" t="e">
        <f>#N/A</f>
        <v>#N/A</v>
      </c>
      <c s="319" t="e">
        <f>O19-R19-S19-U19</f>
        <v>#N/A</v>
      </c>
      <c s="185">
        <f>D19*2200</f>
        <v>2200</v>
      </c>
      <c s="185">
        <f>D19*2075</f>
        <v>2075</v>
      </c>
      <c s="185">
        <f>D19*800</f>
        <v>800</v>
      </c>
      <c s="185"/>
      <c s="423" t="e">
        <f>#N/A</f>
        <v>#N/A</v>
      </c>
      <c s="426" t="e">
        <f>#N/A</f>
        <v>#N/A</v>
      </c>
    </row>
    <row r="20" spans="1:22" s="1" customFormat="1" ht="30" customHeight="1" thickBot="1">
      <c r="A20" s="323" t="s">
        <v>134</v>
      </c>
      <c s="320">
        <f>'REGISTRO TRAMITES DEL DIA '!L16</f>
        <v>32</v>
      </c>
      <c s="320">
        <v>0</v>
      </c>
      <c s="320">
        <f>'REGISTRO TRAMITES DEL DIA '!L53</f>
        <v>53</v>
      </c>
      <c s="399" t="s">
        <v>140</v>
      </c>
      <c s="403">
        <v>4615</v>
      </c>
      <c s="189" t="e">
        <f>#N/A</f>
        <v>#N/A</v>
      </c>
      <c s="245"/>
      <c s="185">
        <f>B20*2075</f>
        <v>66400</v>
      </c>
      <c s="185">
        <f>B20*800</f>
        <v>25600</v>
      </c>
      <c s="185" t="e">
        <f>#N/A</f>
        <v>#N/A</v>
      </c>
      <c s="245"/>
      <c s="285"/>
      <c s="321"/>
      <c s="322" t="e">
        <f>#N/A</f>
        <v>#N/A</v>
      </c>
      <c s="319" t="e">
        <f>O20-R20-S20-U20</f>
        <v>#N/A</v>
      </c>
      <c s="185">
        <v>0</v>
      </c>
      <c s="185">
        <f>D20*2075</f>
        <v>109975</v>
      </c>
      <c s="185">
        <f>D20*800</f>
        <v>42400</v>
      </c>
      <c s="185"/>
      <c s="423" t="e">
        <f>#N/A</f>
        <v>#N/A</v>
      </c>
      <c s="426" t="e">
        <f>#N/A</f>
        <v>#N/A</v>
      </c>
    </row>
    <row r="21" spans="1:22" s="1" customFormat="1" ht="30" customHeight="1" thickBot="1">
      <c r="A21" s="323" t="s">
        <v>135</v>
      </c>
      <c s="320">
        <f>'REGISTRO TRAMITES DEL DIA '!M16</f>
        <v>13</v>
      </c>
      <c s="320">
        <v>0</v>
      </c>
      <c s="320">
        <f>'REGISTRO TRAMITES DEL DIA '!M53</f>
        <v>0</v>
      </c>
      <c s="399" t="s">
        <v>141</v>
      </c>
      <c s="403">
        <v>4615</v>
      </c>
      <c s="189" t="e">
        <f>#N/A</f>
        <v>#N/A</v>
      </c>
      <c s="245"/>
      <c s="185">
        <f>B21*2075</f>
        <v>26975</v>
      </c>
      <c s="185">
        <f>B21*800</f>
        <v>10400</v>
      </c>
      <c s="185" t="e">
        <f>#N/A</f>
        <v>#N/A</v>
      </c>
      <c s="245"/>
      <c s="285"/>
      <c s="321"/>
      <c s="322" t="e">
        <f>#N/A</f>
        <v>#N/A</v>
      </c>
      <c s="319" t="e">
        <f>O21-R21-S21-U21</f>
        <v>#N/A</v>
      </c>
      <c s="185">
        <f>D21*2200</f>
        <v>0</v>
      </c>
      <c s="185">
        <f>D21*2075</f>
        <v>0</v>
      </c>
      <c s="185">
        <f>D21*800</f>
        <v>0</v>
      </c>
      <c s="185"/>
      <c s="423" t="e">
        <f>#N/A</f>
        <v>#N/A</v>
      </c>
      <c s="426" t="e">
        <f>#N/A</f>
        <v>#N/A</v>
      </c>
    </row>
    <row r="22" spans="1:22" s="1" customFormat="1" ht="30" customHeight="1" thickBot="1">
      <c r="A22" s="323" t="s">
        <v>136</v>
      </c>
      <c s="320">
        <f>'REGISTRO TRAMITES DEL DIA '!N16</f>
        <v>69</v>
      </c>
      <c s="320">
        <v>0</v>
      </c>
      <c s="320">
        <f>'REGISTRO TRAMITES DEL DIA '!N53</f>
        <v>55</v>
      </c>
      <c s="399" t="s">
        <v>142</v>
      </c>
      <c s="403">
        <v>700</v>
      </c>
      <c s="189" t="e">
        <f>#N/A</f>
        <v>#N/A</v>
      </c>
      <c s="245"/>
      <c s="185"/>
      <c s="185"/>
      <c s="185" t="e">
        <f>#N/A</f>
        <v>#N/A</v>
      </c>
      <c s="245"/>
      <c s="285"/>
      <c s="321"/>
      <c s="322" t="e">
        <f>#N/A</f>
        <v>#N/A</v>
      </c>
      <c s="319" t="e">
        <f>O22-Q22-S22-U22</f>
        <v>#N/A</v>
      </c>
      <c s="185"/>
      <c s="185"/>
      <c s="185"/>
      <c s="185"/>
      <c s="423" t="e">
        <f>#N/A</f>
        <v>#N/A</v>
      </c>
      <c s="426" t="e">
        <f>#N/A</f>
        <v>#N/A</v>
      </c>
    </row>
    <row r="23" spans="1:22" s="1" customFormat="1" ht="30" customHeight="1" thickBot="1">
      <c r="A23" s="323" t="s">
        <v>137</v>
      </c>
      <c s="320">
        <f>'REGISTRO TRAMITES DEL DIA '!O16</f>
        <v>0</v>
      </c>
      <c s="320">
        <v>0</v>
      </c>
      <c s="320">
        <f>'REGISTRO TRAMITES DEL DIA '!O53</f>
        <v>0</v>
      </c>
      <c s="399" t="s">
        <v>143</v>
      </c>
      <c s="403">
        <v>6240</v>
      </c>
      <c s="189" t="e">
        <f>#N/A</f>
        <v>#N/A</v>
      </c>
      <c s="245"/>
      <c s="185">
        <f>B23*2200</f>
        <v>0</v>
      </c>
      <c s="185">
        <f>B23*800</f>
        <v>0</v>
      </c>
      <c s="185" t="e">
        <f>#N/A</f>
        <v>#N/A</v>
      </c>
      <c s="245"/>
      <c s="285"/>
      <c s="321"/>
      <c s="322" t="e">
        <f>#N/A</f>
        <v>#N/A</v>
      </c>
      <c s="319" t="e">
        <f>O23-Q23-S23-U23</f>
        <v>#N/A</v>
      </c>
      <c s="185">
        <f>D23*2200</f>
        <v>0</v>
      </c>
      <c s="185">
        <f>D23*2075</f>
        <v>0</v>
      </c>
      <c s="185"/>
      <c s="185"/>
      <c s="423" t="e">
        <f>#N/A</f>
        <v>#N/A</v>
      </c>
      <c s="426" t="e">
        <f>#N/A</f>
        <v>#N/A</v>
      </c>
    </row>
    <row r="24" spans="1:22" s="1" customFormat="1" ht="30" customHeight="1" thickBot="1">
      <c r="A24" s="323" t="s">
        <v>244</v>
      </c>
      <c s="320">
        <v>0</v>
      </c>
      <c s="320">
        <v>0</v>
      </c>
      <c s="320">
        <f>'REGISTRO TRAMITES DEL DIA '!P53</f>
        <v>2516</v>
      </c>
      <c s="399" t="s">
        <v>245</v>
      </c>
      <c s="403">
        <v>105</v>
      </c>
      <c s="189" t="e">
        <f>#N/A</f>
        <v>#N/A</v>
      </c>
      <c s="245"/>
      <c s="185"/>
      <c s="185"/>
      <c s="185" t="e">
        <f>#N/A</f>
        <v>#N/A</v>
      </c>
      <c s="245"/>
      <c s="285"/>
      <c s="321"/>
      <c s="322" t="e">
        <f>#N/A</f>
        <v>#N/A</v>
      </c>
      <c s="319" t="e">
        <f>O24-Q24-S24-U24</f>
        <v>#N/A</v>
      </c>
      <c s="185"/>
      <c s="185"/>
      <c s="185"/>
      <c s="185"/>
      <c s="423" t="e">
        <f>#N/A</f>
        <v>#N/A</v>
      </c>
      <c s="426" t="e">
        <f>#N/A</f>
        <v>#N/A</v>
      </c>
    </row>
    <row r="25" spans="1:22" s="1" customFormat="1" ht="30" customHeight="1" thickBot="1">
      <c r="A25" s="387" t="s">
        <v>248</v>
      </c>
      <c s="343">
        <v>0</v>
      </c>
      <c s="343">
        <f>'REGISTRO TRAMITES DEL DIA '!G60</f>
        <v>93</v>
      </c>
      <c s="343">
        <f>'REGISTRO TRAMITES DEL DIA '!J60</f>
        <v>0</v>
      </c>
      <c s="347" t="s">
        <v>249</v>
      </c>
      <c s="348">
        <f>'REGISTRO TRAMITES DEL DIA '!H60</f>
        <v>5000</v>
      </c>
      <c s="189" t="e">
        <f>#N/A</f>
        <v>#N/A</v>
      </c>
      <c s="341"/>
      <c s="349"/>
      <c s="349"/>
      <c s="185" t="e">
        <f>#N/A</f>
        <v>#N/A</v>
      </c>
      <c s="341"/>
      <c s="349">
        <f>C25*F25</f>
        <v>465000</v>
      </c>
      <c s="342"/>
      <c s="322" t="e">
        <f>#N/A</f>
        <v>#N/A</v>
      </c>
      <c s="353"/>
      <c s="365"/>
      <c s="353">
        <v>0</v>
      </c>
      <c s="354">
        <v>0</v>
      </c>
      <c s="365"/>
      <c s="424">
        <f>P25*2.5%</f>
        <v>0</v>
      </c>
      <c s="426" t="e">
        <f>#N/A</f>
        <v>#N/A</v>
      </c>
    </row>
    <row r="26" spans="1:22" s="1" customFormat="1" ht="30" customHeight="1" thickBot="1">
      <c r="A26" s="388" t="s">
        <v>250</v>
      </c>
      <c s="344">
        <v>0</v>
      </c>
      <c s="343">
        <f>'REGISTRO TRAMITES DEL DIA '!G61</f>
        <v>15</v>
      </c>
      <c s="343">
        <f>'REGISTRO TRAMITES DEL DIA '!J61</f>
        <v>0</v>
      </c>
      <c s="345" t="s">
        <v>251</v>
      </c>
      <c s="348">
        <f>'REGISTRO TRAMITES DEL DIA '!H61</f>
        <v>1500</v>
      </c>
      <c s="189" t="e">
        <f>#N/A</f>
        <v>#N/A</v>
      </c>
      <c s="341"/>
      <c s="351">
        <f>B26*2200</f>
        <v>0</v>
      </c>
      <c s="351">
        <f>B26*800</f>
        <v>0</v>
      </c>
      <c s="185" t="e">
        <f>#N/A</f>
        <v>#N/A</v>
      </c>
      <c s="341"/>
      <c s="349" t="e">
        <f>#N/A</f>
        <v>#N/A</v>
      </c>
      <c s="342"/>
      <c s="322" t="e">
        <f>#N/A</f>
        <v>#N/A</v>
      </c>
      <c s="355"/>
      <c s="365"/>
      <c s="356">
        <v>0</v>
      </c>
      <c s="351">
        <v>0</v>
      </c>
      <c s="365"/>
      <c s="424">
        <f>P26*2.5%</f>
        <v>0</v>
      </c>
      <c s="426" t="e">
        <f>#N/A</f>
        <v>#N/A</v>
      </c>
    </row>
    <row r="27" spans="1:22" s="1" customFormat="1" ht="30" customHeight="1" thickBot="1">
      <c r="A27" s="388" t="s">
        <v>252</v>
      </c>
      <c s="343">
        <v>0</v>
      </c>
      <c s="343">
        <f>'REGISTRO TRAMITES DEL DIA '!G62</f>
        <v>13</v>
      </c>
      <c s="343">
        <f>'REGISTRO TRAMITES DEL DIA '!J62</f>
        <v>0</v>
      </c>
      <c s="346" t="s">
        <v>253</v>
      </c>
      <c s="348">
        <f>'REGISTRO TRAMITES DEL DIA '!H62</f>
        <v>1500</v>
      </c>
      <c s="189" t="e">
        <f>#N/A</f>
        <v>#N/A</v>
      </c>
      <c s="341"/>
      <c s="349">
        <f>B27*2200</f>
        <v>0</v>
      </c>
      <c s="349">
        <f>B27*800</f>
        <v>0</v>
      </c>
      <c s="185" t="e">
        <f>#N/A</f>
        <v>#N/A</v>
      </c>
      <c s="341"/>
      <c s="349" t="e">
        <f>#N/A</f>
        <v>#N/A</v>
      </c>
      <c s="342"/>
      <c s="322" t="e">
        <f>#N/A</f>
        <v>#N/A</v>
      </c>
      <c s="357"/>
      <c s="365"/>
      <c s="358">
        <v>0</v>
      </c>
      <c s="349">
        <v>0</v>
      </c>
      <c s="365"/>
      <c s="424">
        <f>P27*2.5%</f>
        <v>0</v>
      </c>
      <c s="426" t="e">
        <f>#N/A</f>
        <v>#N/A</v>
      </c>
    </row>
    <row r="28" spans="1:22" s="1" customFormat="1" ht="30" customHeight="1" thickBot="1">
      <c r="A28" s="388" t="s">
        <v>314</v>
      </c>
      <c s="343">
        <v>0</v>
      </c>
      <c s="343">
        <f>'REGISTRO TRAMITES DEL DIA '!G63</f>
        <v>0</v>
      </c>
      <c s="343">
        <f>'REGISTRO TRAMITES DEL DIA '!J63</f>
        <v>0</v>
      </c>
      <c s="346" t="s">
        <v>315</v>
      </c>
      <c s="348">
        <f>'REGISTRO TRAMITES DEL DIA '!H63</f>
        <v>1500</v>
      </c>
      <c s="189" t="e">
        <f>#N/A</f>
        <v>#N/A</v>
      </c>
      <c s="341"/>
      <c s="349"/>
      <c s="349"/>
      <c s="185" t="e">
        <f>#N/A</f>
        <v>#N/A</v>
      </c>
      <c s="341"/>
      <c s="349" t="e">
        <f>#N/A</f>
        <v>#N/A</v>
      </c>
      <c s="342"/>
      <c s="322" t="e">
        <f>#N/A</f>
        <v>#N/A</v>
      </c>
      <c s="357"/>
      <c s="365"/>
      <c s="358"/>
      <c s="349"/>
      <c s="365"/>
      <c s="424"/>
      <c s="426"/>
    </row>
    <row r="29" spans="1:22" s="1" customFormat="1" ht="30" customHeight="1" thickBot="1">
      <c r="A29" s="387" t="s">
        <v>298</v>
      </c>
      <c s="344">
        <v>0</v>
      </c>
      <c s="343">
        <f>'REGISTRO TRAMITES DEL DIA '!G64</f>
        <v>0</v>
      </c>
      <c s="531">
        <f>'REGISTRO TRAMITES DEL DIA '!J64</f>
        <v>0</v>
      </c>
      <c s="475" t="s">
        <v>299</v>
      </c>
      <c s="508">
        <f>'REGISTRO TRAMITES DEL DIA '!H64</f>
        <v>1500</v>
      </c>
      <c s="189" t="e">
        <f>#N/A</f>
        <v>#N/A</v>
      </c>
      <c s="341"/>
      <c s="349"/>
      <c s="349"/>
      <c s="185" t="e">
        <f>#N/A</f>
        <v>#N/A</v>
      </c>
      <c s="341"/>
      <c s="349" t="e">
        <f>#N/A</f>
        <v>#N/A</v>
      </c>
      <c s="342"/>
      <c s="322" t="e">
        <f>#N/A</f>
        <v>#N/A</v>
      </c>
      <c s="357"/>
      <c s="365"/>
      <c s="358"/>
      <c s="349"/>
      <c s="365"/>
      <c s="424"/>
      <c s="426" t="e">
        <f>K29+M29+P29</f>
        <v>#N/A</v>
      </c>
    </row>
    <row r="30" spans="1:22" s="1" customFormat="1" ht="30" customHeight="1" thickBot="1">
      <c r="A30" s="387" t="s">
        <v>323</v>
      </c>
      <c s="344">
        <v>0</v>
      </c>
      <c s="343">
        <f>'REGISTRO TRAMITES DEL DIA '!G65</f>
        <v>0</v>
      </c>
      <c s="343">
        <v>0</v>
      </c>
      <c s="530" t="s">
        <v>324</v>
      </c>
      <c s="529">
        <f>'REGISTRO TRAMITES DEL DIA '!H65</f>
        <v>3000</v>
      </c>
      <c s="189" t="e">
        <f>#N/A</f>
        <v>#N/A</v>
      </c>
      <c s="341"/>
      <c s="349"/>
      <c s="349"/>
      <c s="185" t="e">
        <f>#N/A</f>
        <v>#N/A</v>
      </c>
      <c s="341"/>
      <c s="349" t="e">
        <f>#N/A</f>
        <v>#N/A</v>
      </c>
      <c s="342"/>
      <c s="322" t="e">
        <f>#N/A</f>
        <v>#N/A</v>
      </c>
      <c s="357"/>
      <c s="365"/>
      <c s="358"/>
      <c s="349"/>
      <c s="365"/>
      <c s="424"/>
      <c s="426"/>
    </row>
    <row r="31" spans="1:22" s="1" customFormat="1" ht="30" customHeight="1" thickBot="1">
      <c r="A31" s="387" t="s">
        <v>325</v>
      </c>
      <c s="344">
        <v>0</v>
      </c>
      <c s="343">
        <f>'REGISTRO TRAMITES DEL DIA '!G66</f>
        <v>0</v>
      </c>
      <c s="343">
        <v>0</v>
      </c>
      <c s="530" t="s">
        <v>324</v>
      </c>
      <c s="529">
        <f>'REGISTRO TRAMITES DEL DIA '!H66</f>
        <v>5000</v>
      </c>
      <c s="189" t="e">
        <f>#N/A</f>
        <v>#N/A</v>
      </c>
      <c s="341"/>
      <c s="349"/>
      <c s="349"/>
      <c s="185" t="e">
        <f>#N/A</f>
        <v>#N/A</v>
      </c>
      <c s="341"/>
      <c s="349">
        <f>C31*F31</f>
        <v>0</v>
      </c>
      <c s="342"/>
      <c s="322" t="e">
        <f>#N/A</f>
        <v>#N/A</v>
      </c>
      <c s="357"/>
      <c s="365"/>
      <c s="358"/>
      <c s="349"/>
      <c s="365"/>
      <c s="424"/>
      <c s="426"/>
    </row>
    <row r="32" spans="1:22" s="1" customFormat="1" ht="30" customHeight="1" thickBot="1">
      <c r="A32" s="388" t="s">
        <v>319</v>
      </c>
      <c s="343">
        <v>0</v>
      </c>
      <c s="343">
        <f>'REGISTRO TRAMITES DEL DIA '!G67</f>
        <v>1</v>
      </c>
      <c s="343">
        <f>'REGISTRO TRAMITES DEL DIA '!J67</f>
        <v>0</v>
      </c>
      <c s="346" t="s">
        <v>320</v>
      </c>
      <c s="348">
        <f>'REGISTRO TRAMITES DEL DIA '!H67</f>
        <v>1000</v>
      </c>
      <c s="352">
        <f>B32*F32</f>
        <v>0</v>
      </c>
      <c s="341"/>
      <c s="349">
        <f>B32*2200</f>
        <v>0</v>
      </c>
      <c s="349"/>
      <c s="349">
        <f>G32-I32-J32</f>
        <v>0</v>
      </c>
      <c s="341"/>
      <c s="349" t="e">
        <f>#N/A</f>
        <v>#N/A</v>
      </c>
      <c s="342"/>
      <c s="322" t="e">
        <f>#N/A</f>
        <v>#N/A</v>
      </c>
      <c s="357" t="e">
        <f>O32</f>
        <v>#N/A</v>
      </c>
      <c s="365"/>
      <c s="358">
        <v>0</v>
      </c>
      <c s="349">
        <v>0</v>
      </c>
      <c s="365"/>
      <c s="424"/>
      <c s="426" t="e">
        <f>#N/A</f>
        <v>#N/A</v>
      </c>
    </row>
    <row r="33" spans="1:22" s="1" customFormat="1" ht="30" customHeight="1" thickBot="1">
      <c r="A33" s="388" t="s">
        <v>254</v>
      </c>
      <c s="343">
        <v>0</v>
      </c>
      <c s="343">
        <f>'REGISTRO TRAMITES DEL DIA '!G68</f>
        <v>36</v>
      </c>
      <c s="343">
        <f>'REGISTRO TRAMITES DEL DIA '!J68</f>
        <v>202</v>
      </c>
      <c s="346" t="s">
        <v>255</v>
      </c>
      <c s="348">
        <f>'REGISTRO TRAMITES DEL DIA '!H68</f>
        <v>50</v>
      </c>
      <c s="352" t="e">
        <f>#N/A</f>
        <v>#N/A</v>
      </c>
      <c s="341"/>
      <c s="349">
        <f>B33*2200</f>
        <v>0</v>
      </c>
      <c s="349"/>
      <c s="349" t="e">
        <f>#N/A</f>
        <v>#N/A</v>
      </c>
      <c s="341"/>
      <c s="349" t="e">
        <f>#N/A</f>
        <v>#N/A</v>
      </c>
      <c s="342"/>
      <c s="322" t="e">
        <f>#N/A</f>
        <v>#N/A</v>
      </c>
      <c s="357" t="e">
        <f>O33</f>
        <v>#N/A</v>
      </c>
      <c s="365"/>
      <c s="358">
        <v>0</v>
      </c>
      <c s="349">
        <v>0</v>
      </c>
      <c s="365"/>
      <c s="424"/>
      <c s="426" t="e">
        <f>#N/A</f>
        <v>#N/A</v>
      </c>
    </row>
    <row r="34" spans="1:22" s="1" customFormat="1" ht="30" customHeight="1" thickBot="1">
      <c r="A34" s="388" t="s">
        <v>256</v>
      </c>
      <c s="343">
        <v>0</v>
      </c>
      <c s="343">
        <f>'REGISTRO TRAMITES DEL DIA '!G69</f>
        <v>44</v>
      </c>
      <c s="343">
        <f>'REGISTRO TRAMITES DEL DIA '!J69</f>
        <v>0</v>
      </c>
      <c s="346" t="s">
        <v>257</v>
      </c>
      <c s="348">
        <f>'REGISTRO TRAMITES DEL DIA '!H69</f>
        <v>1000</v>
      </c>
      <c s="352" t="e">
        <f>#N/A</f>
        <v>#N/A</v>
      </c>
      <c s="341"/>
      <c s="349">
        <f>B34*2075</f>
        <v>0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57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35" spans="1:22" s="1" customFormat="1" ht="30" customHeight="1" thickBot="1">
      <c r="A35" s="388" t="s">
        <v>258</v>
      </c>
      <c s="343">
        <v>0</v>
      </c>
      <c s="343">
        <f>'REGISTRO TRAMITES DEL DIA '!G70</f>
        <v>0</v>
      </c>
      <c s="343">
        <f>'REGISTRO TRAMITES DEL DIA '!J70</f>
        <v>0</v>
      </c>
      <c s="346" t="s">
        <v>259</v>
      </c>
      <c s="348">
        <f>'REGISTRO TRAMITES DEL DIA '!H70</f>
        <v>500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36" spans="1:22" s="1" customFormat="1" ht="30" customHeight="1" thickBot="1">
      <c r="A36" s="388" t="s">
        <v>327</v>
      </c>
      <c s="343">
        <v>0</v>
      </c>
      <c s="343">
        <f>'REGISTRO TRAMITES DEL DIA '!G71</f>
        <v>0</v>
      </c>
      <c s="343">
        <f>'REGISTRO TRAMITES DEL DIA '!J71</f>
        <v>0</v>
      </c>
      <c s="346" t="s">
        <v>394</v>
      </c>
      <c s="348">
        <f>'REGISTRO TRAMITES DEL DIA '!H71</f>
        <v>500</v>
      </c>
      <c s="352" t="e">
        <f>#N/A</f>
        <v>#N/A</v>
      </c>
      <c s="341"/>
      <c s="349" t="e">
        <f>#N/A</f>
        <v>#N/A</v>
      </c>
      <c s="349"/>
      <c s="349" t="e">
        <f>#N/A</f>
        <v>#N/A</v>
      </c>
      <c s="341"/>
      <c s="349" t="e">
        <f>#N/A</f>
        <v>#N/A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37" spans="1:22" s="1" customFormat="1" ht="37.5" customHeight="1" thickBot="1">
      <c r="A37" s="388" t="s">
        <v>327</v>
      </c>
      <c s="343">
        <v>0</v>
      </c>
      <c s="343" t="e">
        <f>'INGRESOS ACUMULADOS '!#REF!</f>
        <v>#REF!</v>
      </c>
      <c s="343" t="e">
        <f>'INGRESOS ACUMULADOS '!#REF!</f>
        <v>#REF!</v>
      </c>
      <c s="346" t="s">
        <v>393</v>
      </c>
      <c s="348" t="e">
        <f>'INGRESOS ACUMULADOS '!#REF!</f>
        <v>#REF!</v>
      </c>
      <c s="352" t="e">
        <f>#N/A</f>
        <v>#N/A</v>
      </c>
      <c s="341"/>
      <c s="349" t="e">
        <f>#N/A</f>
        <v>#N/A</v>
      </c>
      <c s="349"/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/>
      <c s="185"/>
      <c s="358">
        <v>0</v>
      </c>
      <c s="349">
        <v>0</v>
      </c>
      <c s="426"/>
      <c s="424" t="e">
        <f>#N/A</f>
        <v>#N/A</v>
      </c>
      <c s="426" t="e">
        <f>#N/A</f>
        <v>#N/A</v>
      </c>
    </row>
    <row r="38" spans="1:22" s="1" customFormat="1" ht="37.5" customHeight="1" thickBot="1">
      <c r="A38" s="388" t="s">
        <v>441</v>
      </c>
      <c s="343">
        <v>0</v>
      </c>
      <c s="343">
        <f>'OAI '!C38</f>
        <v>0</v>
      </c>
      <c s="343" t="e">
        <f>'INGRESOS ACUMULADOS '!#REF!</f>
        <v>#REF!</v>
      </c>
      <c s="530" t="s">
        <v>443</v>
      </c>
      <c s="348">
        <f>+'REGISTRO TRAMITES DEL DIA '!H74</f>
        <v>1000</v>
      </c>
      <c s="352">
        <v>0</v>
      </c>
      <c s="341"/>
      <c s="349">
        <v>0</v>
      </c>
      <c s="349"/>
      <c s="349" t="e">
        <f>#N/A</f>
        <v>#N/A</v>
      </c>
      <c s="341"/>
      <c s="349" t="e">
        <f>#N/A</f>
        <v>#N/A</v>
      </c>
      <c s="342"/>
      <c s="322" t="e">
        <f>#N/A</f>
        <v>#N/A</v>
      </c>
      <c s="319"/>
      <c s="185"/>
      <c s="358">
        <v>0</v>
      </c>
      <c s="349">
        <v>0</v>
      </c>
      <c s="426"/>
      <c s="424" t="e">
        <f>#N/A</f>
        <v>#N/A</v>
      </c>
      <c s="426" t="e">
        <f>#N/A</f>
        <v>#N/A</v>
      </c>
    </row>
    <row r="39" spans="1:22" s="1" customFormat="1" ht="30" customHeight="1" thickBot="1">
      <c r="A39" s="388" t="s">
        <v>260</v>
      </c>
      <c s="343">
        <v>0</v>
      </c>
      <c s="343">
        <f>'REGISTRO TRAMITES DEL DIA '!G74</f>
        <v>39</v>
      </c>
      <c s="343">
        <f>'REGISTRO TRAMITES DEL DIA '!J74</f>
        <v>0</v>
      </c>
      <c s="346" t="s">
        <v>261</v>
      </c>
      <c s="348">
        <f>'REGISTRO TRAMITES DEL DIA '!H74</f>
        <v>1000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40" spans="1:22" s="1" customFormat="1" ht="30" customHeight="1" thickBot="1">
      <c r="A40" s="388" t="s">
        <v>262</v>
      </c>
      <c s="343">
        <v>0</v>
      </c>
      <c s="343">
        <f>'REGISTRO TRAMITES DEL DIA '!G75</f>
        <v>7</v>
      </c>
      <c s="343">
        <f>'REGISTRO TRAMITES DEL DIA '!J75</f>
        <v>0</v>
      </c>
      <c s="346" t="s">
        <v>263</v>
      </c>
      <c s="348">
        <f>'REGISTRO TRAMITES DEL DIA '!H75</f>
        <v>2142.857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41" spans="1:22" s="1" customFormat="1" ht="30" customHeight="1" thickBot="1">
      <c r="A41" s="388" t="s">
        <v>264</v>
      </c>
      <c s="343">
        <v>0</v>
      </c>
      <c s="343">
        <f>'REGISTRO TRAMITES DEL DIA '!G76</f>
        <v>0</v>
      </c>
      <c s="343">
        <f>'REGISTRO TRAMITES DEL DIA '!J76</f>
        <v>0</v>
      </c>
      <c s="347" t="s">
        <v>265</v>
      </c>
      <c s="348">
        <f>'REGISTRO TRAMITES DEL DIA '!H76</f>
        <v>5000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42" spans="1:22" s="1" customFormat="1" ht="30" customHeight="1" thickBot="1">
      <c r="A42" s="388" t="s">
        <v>266</v>
      </c>
      <c s="343">
        <v>0</v>
      </c>
      <c s="343">
        <f>'REGISTRO TRAMITES DEL DIA '!G77</f>
        <v>0</v>
      </c>
      <c s="343">
        <f>'REGISTRO TRAMITES DEL DIA '!J77</f>
        <v>0</v>
      </c>
      <c s="347" t="s">
        <v>267</v>
      </c>
      <c s="348">
        <f>'REGISTRO TRAMITES DEL DIA '!H77</f>
        <v>5250</v>
      </c>
      <c s="352" t="e">
        <f>#N/A</f>
        <v>#N/A</v>
      </c>
      <c s="341"/>
      <c s="349" t="e">
        <f>#N/A</f>
        <v>#N/A</v>
      </c>
      <c s="349" t="e">
        <f>#N/A</f>
        <v>#N/A</v>
      </c>
      <c s="349" t="e">
        <f>#N/A</f>
        <v>#N/A</v>
      </c>
      <c s="341"/>
      <c s="349">
        <f>C42*F42</f>
        <v>0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43" spans="1:22" s="1" customFormat="1" ht="30" customHeight="1" thickBot="1">
      <c r="A43" s="388" t="s">
        <v>268</v>
      </c>
      <c s="343">
        <v>0</v>
      </c>
      <c s="343">
        <f>'REGISTRO TRAMITES DEL DIA '!G78</f>
        <v>15</v>
      </c>
      <c s="343">
        <f>'REGISTRO TRAMITES DEL DIA '!J78</f>
        <v>0</v>
      </c>
      <c s="347" t="s">
        <v>269</v>
      </c>
      <c s="348">
        <f>'REGISTRO TRAMITES DEL DIA '!H78</f>
        <v>3400</v>
      </c>
      <c s="352" t="e">
        <f>#N/A</f>
        <v>#N/A</v>
      </c>
      <c s="341"/>
      <c s="349">
        <f>B43*2075</f>
        <v>0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44" spans="1:22" s="1" customFormat="1" ht="30" customHeight="1" thickBot="1">
      <c r="A44" s="388" t="s">
        <v>270</v>
      </c>
      <c s="343">
        <v>0</v>
      </c>
      <c s="343">
        <f>'REGISTRO TRAMITES DEL DIA '!G79</f>
        <v>0</v>
      </c>
      <c s="343">
        <f>'REGISTRO TRAMITES DEL DIA '!J79</f>
        <v>0</v>
      </c>
      <c s="347" t="s">
        <v>271</v>
      </c>
      <c s="348">
        <f>'REGISTRO TRAMITES DEL DIA '!H79</f>
        <v>100</v>
      </c>
      <c s="352" t="e">
        <f>#N/A</f>
        <v>#N/A</v>
      </c>
      <c s="341"/>
      <c s="349">
        <f>B44*2075</f>
        <v>0</v>
      </c>
      <c s="349" t="e">
        <f>#N/A</f>
        <v>#N/A</v>
      </c>
      <c s="349" t="e">
        <f>#N/A</f>
        <v>#N/A</v>
      </c>
      <c s="341"/>
      <c s="349" t="e">
        <f>#N/A</f>
        <v>#N/A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45" spans="1:22" s="1" customFormat="1" ht="30" customHeight="1" thickBot="1">
      <c r="A45" s="388" t="s">
        <v>272</v>
      </c>
      <c s="343">
        <v>0</v>
      </c>
      <c s="343">
        <f>'REGISTRO TRAMITES DEL DIA '!G80</f>
        <v>0</v>
      </c>
      <c s="343">
        <f>'REGISTRO TRAMITES DEL DIA '!J80</f>
        <v>0</v>
      </c>
      <c s="347" t="s">
        <v>273</v>
      </c>
      <c s="348">
        <f>'REGISTRO TRAMITES DEL DIA '!H80</f>
        <v>1500</v>
      </c>
      <c s="352" t="e">
        <f>#N/A</f>
        <v>#N/A</v>
      </c>
      <c s="341"/>
      <c s="349">
        <f>B45*2075</f>
        <v>0</v>
      </c>
      <c s="349" t="e">
        <f>#N/A</f>
        <v>#N/A</v>
      </c>
      <c s="349" t="e">
        <f>#N/A</f>
        <v>#N/A</v>
      </c>
      <c s="341"/>
      <c s="349">
        <f>C45*F45</f>
        <v>0</v>
      </c>
      <c s="342"/>
      <c s="322" t="e">
        <f>#N/A</f>
        <v>#N/A</v>
      </c>
      <c s="359"/>
      <c s="365"/>
      <c s="358">
        <v>0</v>
      </c>
      <c s="349">
        <v>0</v>
      </c>
      <c s="365"/>
      <c s="424" t="e">
        <f>#N/A</f>
        <v>#N/A</v>
      </c>
      <c s="426" t="e">
        <f>#N/A</f>
        <v>#N/A</v>
      </c>
    </row>
    <row r="46" spans="1:22" s="1" customFormat="1" ht="30.75" customHeight="1" thickBot="1">
      <c r="A46" s="388" t="s">
        <v>274</v>
      </c>
      <c s="343">
        <v>0</v>
      </c>
      <c s="343">
        <f>'REGISTRO TRAMITES DEL DIA '!G82</f>
        <v>0</v>
      </c>
      <c s="343">
        <f>'REGISTRO TRAMITES DEL DIA '!J82</f>
        <v>0</v>
      </c>
      <c s="347" t="s">
        <v>275</v>
      </c>
      <c s="348">
        <f>'REGISTRO TRAMITES DEL DIA '!H82</f>
        <v>1500</v>
      </c>
      <c s="400" t="e">
        <f>#N/A</f>
        <v>#N/A</v>
      </c>
      <c s="341"/>
      <c s="360"/>
      <c s="360" t="e">
        <f>#N/A</f>
        <v>#N/A</v>
      </c>
      <c s="360" t="e">
        <f>#N/A</f>
        <v>#N/A</v>
      </c>
      <c s="341"/>
      <c s="360">
        <f>C46*F46</f>
        <v>0</v>
      </c>
      <c s="342"/>
      <c s="322" t="e">
        <f>#N/A</f>
        <v>#N/A</v>
      </c>
      <c s="362"/>
      <c s="365"/>
      <c s="363">
        <v>0</v>
      </c>
      <c s="360">
        <v>0</v>
      </c>
      <c s="365"/>
      <c s="425" t="e">
        <f>#N/A</f>
        <v>#N/A</v>
      </c>
      <c s="426" t="e">
        <f>#N/A</f>
        <v>#N/A</v>
      </c>
    </row>
    <row r="47" spans="1:34" ht="46.5" customHeight="1">
      <c r="A47" s="195" t="s">
        <v>246</v>
      </c>
      <c s="286">
        <f>SUM(B11:B46)</f>
        <v>9467</v>
      </c>
      <c s="286" t="e">
        <f>SUM(C11:C46)</f>
        <v>#REF!</v>
      </c>
      <c s="286" t="e">
        <f>SUM(D11:D46)</f>
        <v>#REF!</v>
      </c>
      <c s="1497" t="s">
        <v>321</v>
      </c>
      <c s="1497"/>
      <c s="394" t="e">
        <f>SUM(G10:G46)</f>
        <v>#N/A</v>
      </c>
      <c s="394"/>
      <c s="394" t="e">
        <f>SUM(I10:I46)</f>
        <v>#N/A</v>
      </c>
      <c s="394" t="e">
        <f>SUM(J10:J46)</f>
        <v>#N/A</v>
      </c>
      <c s="394" t="e">
        <f>SUM(K10:K46)</f>
        <v>#N/A</v>
      </c>
      <c s="394"/>
      <c s="394">
        <f>'OAI '!M48</f>
        <v>750950.00089999998</v>
      </c>
      <c s="395"/>
      <c s="394" t="e">
        <f>SUM(O10:O46)</f>
        <v>#N/A</v>
      </c>
      <c s="394" t="e">
        <f>SUM(P10:P46)</f>
        <v>#N/A</v>
      </c>
      <c s="394">
        <f>SUM(Q10:Q23)</f>
        <v>2200</v>
      </c>
      <c s="394">
        <f>SUM(R10:R46)</f>
        <v>3286650</v>
      </c>
      <c s="394">
        <f>SUM(S10:S46)</f>
        <v>211200</v>
      </c>
      <c s="394"/>
      <c s="394" t="e">
        <f>SUM(U10:U46)</f>
        <v>#N/A</v>
      </c>
      <c s="394" t="e">
        <f>SUM(V10:V46)</f>
        <v>#N/A</v>
      </c>
      <c s="251"/>
      <c s="251"/>
      <c s="251"/>
      <c s="251"/>
      <c s="251"/>
      <c s="251"/>
      <c s="251"/>
      <c s="251"/>
      <c s="251"/>
      <c s="251"/>
      <c s="251"/>
      <c s="251"/>
    </row>
    <row r="48" spans="1:22" ht="27.75" customHeight="1" hidden="1">
      <c r="A48" s="191"/>
      <c s="176">
        <v>0</v>
      </c>
      <c s="176"/>
      <c s="176"/>
      <c s="1498" t="s">
        <v>129</v>
      </c>
      <c s="1499"/>
      <c s="389"/>
      <c s="390"/>
      <c s="187"/>
      <c s="188"/>
      <c s="394" t="e">
        <f>#N/A</f>
        <v>#N/A</v>
      </c>
      <c s="236"/>
      <c s="188"/>
      <c s="391"/>
      <c s="188"/>
      <c s="188"/>
      <c s="188"/>
      <c s="188"/>
      <c s="392"/>
      <c s="393"/>
      <c r="V48" s="239"/>
    </row>
    <row r="49" spans="1:22" ht="15.75" customHeight="1" hidden="1">
      <c r="A49" s="191"/>
      <c s="176">
        <v>0</v>
      </c>
      <c s="176"/>
      <c s="176"/>
      <c s="1500" t="s">
        <v>194</v>
      </c>
      <c s="1501"/>
      <c s="267" t="e">
        <f>SUM(I49:K49)</f>
        <v>#N/A</v>
      </c>
      <c s="248"/>
      <c s="297">
        <v>0</v>
      </c>
      <c s="184">
        <v>0</v>
      </c>
      <c s="394" t="e">
        <f>#N/A</f>
        <v>#N/A</v>
      </c>
      <c s="236"/>
      <c s="184">
        <v>0</v>
      </c>
      <c s="245"/>
      <c s="185"/>
      <c s="185"/>
      <c s="185"/>
      <c s="185"/>
      <c s="185">
        <v>0</v>
      </c>
      <c s="243"/>
      <c r="V49" s="184" t="e">
        <f>#REF!+M49+S49</f>
        <v>#REF!</v>
      </c>
    </row>
    <row r="50" spans="1:22" ht="30" customHeight="1" hidden="1">
      <c r="A50" s="191"/>
      <c s="176">
        <v>128</v>
      </c>
      <c s="176"/>
      <c s="176"/>
      <c s="1443" t="s">
        <v>203</v>
      </c>
      <c s="1502"/>
      <c s="267" t="e">
        <f>SUM(I50:K50)</f>
        <v>#N/A</v>
      </c>
      <c s="249"/>
      <c s="297">
        <v>0</v>
      </c>
      <c s="184">
        <v>0</v>
      </c>
      <c s="394" t="e">
        <f>#N/A</f>
        <v>#N/A</v>
      </c>
      <c s="236"/>
      <c s="184">
        <v>0</v>
      </c>
      <c s="246"/>
      <c s="184"/>
      <c s="184"/>
      <c s="184"/>
      <c s="184"/>
      <c s="238"/>
      <c s="242"/>
      <c s="252"/>
      <c s="184" t="e">
        <f>+#REF!+M50+S50</f>
        <v>#REF!</v>
      </c>
    </row>
    <row r="51" spans="1:22" ht="0.75" customHeight="1" thickBot="1">
      <c r="A51" s="191"/>
      <c s="178"/>
      <c s="178"/>
      <c s="178"/>
      <c s="1446" t="s">
        <v>130</v>
      </c>
      <c s="1503"/>
      <c s="206" t="e">
        <f>G24+G47+G48+G49+G50</f>
        <v>#N/A</v>
      </c>
      <c s="288"/>
      <c s="421" t="e">
        <f>I24+I47+I48+I49+I50</f>
        <v>#N/A</v>
      </c>
      <c s="186" t="e">
        <f>J24+J47+J48+J49+J50</f>
        <v>#N/A</v>
      </c>
      <c s="394" t="e">
        <f>#N/A</f>
        <v>#N/A</v>
      </c>
      <c s="225"/>
      <c s="234" t="e">
        <f>M26+M33+M34+M38</f>
        <v>#N/A</v>
      </c>
      <c s="247"/>
      <c s="240" t="e">
        <f>O24</f>
        <v>#N/A</v>
      </c>
      <c s="240"/>
      <c s="240"/>
      <c s="240"/>
      <c s="282">
        <f>S24+S47+S50</f>
        <v>211200</v>
      </c>
      <c s="244"/>
      <c s="252"/>
      <c s="184" t="e">
        <f>#REF!+M51+S51</f>
        <v>#REF!</v>
      </c>
    </row>
    <row r="52" spans="1:22" ht="54" customHeight="1" thickTop="1">
      <c r="A52" s="191"/>
      <c s="178"/>
      <c s="178"/>
      <c s="178"/>
      <c s="149"/>
      <c s="149"/>
      <c s="182"/>
      <c s="182"/>
      <c s="182"/>
      <c s="182"/>
      <c s="420"/>
      <c s="182"/>
      <c s="182"/>
      <c s="182"/>
      <c s="182"/>
      <c s="182"/>
      <c s="182"/>
      <c s="182"/>
      <c s="419"/>
      <c s="477"/>
      <c s="420"/>
      <c s="182"/>
    </row>
    <row r="53" spans="1:22" s="1" customFormat="1" ht="15" customHeight="1">
      <c r="A53" s="652">
        <v>0</v>
      </c>
      <c s="652">
        <v>0</v>
      </c>
      <c s="652">
        <v>0</v>
      </c>
      <c s="652">
        <v>0</v>
      </c>
      <c s="653" t="s">
        <v>444</v>
      </c>
      <c s="518"/>
      <c s="524">
        <f>SUM(I53:K53)</f>
        <v>0</v>
      </c>
      <c s="365"/>
      <c s="524">
        <v>0</v>
      </c>
      <c s="524">
        <v>0</v>
      </c>
      <c s="420"/>
      <c s="365"/>
      <c s="671">
        <v>0</v>
      </c>
      <c s="192"/>
      <c s="523">
        <v>0</v>
      </c>
      <c s="520">
        <v>0</v>
      </c>
      <c s="365"/>
      <c s="521">
        <v>0</v>
      </c>
      <c s="519">
        <v>0</v>
      </c>
      <c s="365"/>
      <c s="519">
        <v>0</v>
      </c>
      <c s="522">
        <v>0</v>
      </c>
    </row>
    <row r="54" spans="1:22" ht="28.5" customHeight="1" hidden="1">
      <c r="A54" s="191"/>
      <c s="178"/>
      <c s="178"/>
      <c s="178"/>
      <c s="149"/>
      <c s="149"/>
      <c s="182"/>
      <c s="182"/>
      <c s="182"/>
      <c s="182"/>
      <c s="394" t="e">
        <f>#N/A</f>
        <v>#N/A</v>
      </c>
      <c s="182"/>
      <c s="182"/>
      <c s="182"/>
      <c s="182"/>
      <c s="182"/>
      <c s="182"/>
      <c s="182"/>
      <c s="419"/>
      <c s="477"/>
      <c s="420"/>
      <c s="182"/>
    </row>
    <row r="55" spans="1:34" ht="35.25" customHeight="1" hidden="1">
      <c r="A55" s="195" t="s">
        <v>246</v>
      </c>
      <c s="286">
        <f>+B47+B53</f>
        <v>9467</v>
      </c>
      <c s="286" t="e">
        <f>SUM(C19:C54)</f>
        <v>#REF!</v>
      </c>
      <c s="286" t="e">
        <f>SUM(D19:D54)</f>
        <v>#REF!</v>
      </c>
      <c s="1483" t="s">
        <v>321</v>
      </c>
      <c s="1483"/>
      <c s="394" t="e">
        <f>SUM(I55:K55)</f>
        <v>#N/A</v>
      </c>
      <c s="394"/>
      <c s="394" t="e">
        <f>I47+I53</f>
        <v>#N/A</v>
      </c>
      <c s="394" t="e">
        <f>J47+J53</f>
        <v>#N/A</v>
      </c>
      <c s="394" t="e">
        <f>#N/A</f>
        <v>#N/A</v>
      </c>
      <c s="394"/>
      <c s="395">
        <f>M47+M53</f>
        <v>750950.00089999998</v>
      </c>
      <c s="395" t="e">
        <f>#N/A</f>
        <v>#N/A</v>
      </c>
      <c s="395" t="e">
        <f>O47+O53</f>
        <v>#N/A</v>
      </c>
      <c s="395" t="e">
        <f>#N/A</f>
        <v>#N/A</v>
      </c>
      <c s="395" t="e">
        <f>#N/A</f>
        <v>#N/A</v>
      </c>
      <c s="395" t="e">
        <f>#N/A</f>
        <v>#N/A</v>
      </c>
      <c s="395" t="e">
        <f>#N/A</f>
        <v>#N/A</v>
      </c>
      <c s="395"/>
      <c s="395" t="e">
        <f>U47+U53</f>
        <v>#N/A</v>
      </c>
      <c s="395" t="e">
        <f>+V47+V53</f>
        <v>#N/A</v>
      </c>
      <c s="251"/>
      <c s="251"/>
      <c s="251"/>
      <c s="251"/>
      <c s="251"/>
      <c s="251"/>
      <c s="251"/>
      <c s="251"/>
      <c s="251"/>
      <c s="251"/>
      <c s="251"/>
      <c s="251"/>
    </row>
    <row r="56" spans="1:22" ht="24" customHeight="1">
      <c r="A56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57" spans="1:22" ht="24" customHeight="1">
      <c r="A57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58" spans="1:22" ht="24" customHeight="1">
      <c r="A58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59" spans="1:22" ht="24" customHeight="1">
      <c r="A59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60" spans="1:22" ht="24" customHeight="1">
      <c r="A60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61" spans="1:22" ht="24" customHeight="1">
      <c r="A61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62" spans="1:22" ht="24" customHeight="1">
      <c r="A62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63" spans="1:22" ht="24" customHeight="1">
      <c r="A63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64" spans="1:22" ht="24" customHeight="1">
      <c r="A64" s="191"/>
      <c s="178"/>
      <c s="178"/>
      <c s="178"/>
      <c s="149"/>
      <c s="149"/>
      <c s="182"/>
      <c s="182"/>
      <c s="182"/>
      <c s="182"/>
      <c s="182"/>
      <c s="182"/>
      <c s="182"/>
      <c s="182"/>
      <c s="182"/>
      <c s="182"/>
      <c s="182"/>
      <c s="182"/>
      <c s="419"/>
      <c s="477"/>
      <c s="420"/>
      <c s="182"/>
    </row>
    <row r="65" spans="1:21" ht="53.25" customHeight="1">
      <c r="A65" s="191"/>
      <c s="178"/>
      <c s="178"/>
      <c s="178"/>
      <c s="418" t="s">
        <v>114</v>
      </c>
      <c s="149"/>
      <c s="149"/>
      <c s="149"/>
      <c s="149"/>
      <c s="149"/>
      <c s="182"/>
      <c s="182"/>
      <c s="182"/>
      <c s="182"/>
      <c s="182"/>
      <c s="182"/>
      <c s="182"/>
      <c s="182"/>
      <c s="192"/>
      <c s="192"/>
      <c s="154" t="s">
        <v>188</v>
      </c>
    </row>
    <row r="66" spans="1:20" ht="21" customHeight="1">
      <c r="A66" s="191"/>
      <c s="178"/>
      <c s="178"/>
      <c s="178"/>
      <c s="418"/>
      <c s="149"/>
      <c s="149"/>
      <c s="149"/>
      <c s="149"/>
      <c s="149"/>
      <c s="182"/>
      <c s="182"/>
      <c s="182"/>
      <c s="182"/>
      <c s="182"/>
      <c s="182"/>
      <c s="182"/>
      <c s="182"/>
      <c s="192"/>
      <c s="192"/>
    </row>
    <row r="67" spans="1:24" ht="31.5" customHeight="1" thickBot="1">
      <c r="A67" s="191"/>
      <c s="176"/>
      <c s="176"/>
      <c s="176"/>
      <c s="197" t="s">
        <v>283</v>
      </c>
      <c s="294" t="s">
        <v>60</v>
      </c>
      <c s="266"/>
      <c s="179"/>
      <c s="179"/>
      <c s="179"/>
      <c s="194"/>
      <c s="194"/>
      <c s="193"/>
      <c s="193"/>
      <c s="193"/>
      <c s="193"/>
      <c s="193"/>
      <c s="193"/>
      <c s="191"/>
      <c s="191"/>
      <c s="251"/>
      <c s="251"/>
      <c r="X67" s="262"/>
    </row>
    <row r="68" spans="1:24" ht="23.25" customHeight="1" thickBot="1">
      <c r="A68" s="195"/>
      <c s="180"/>
      <c s="180"/>
      <c s="180"/>
      <c s="1446" t="s">
        <v>447</v>
      </c>
      <c s="1446"/>
      <c s="407">
        <f>SUM(I68:K68)</f>
        <v>16431441.15</v>
      </c>
      <c s="408"/>
      <c s="196">
        <f>'REGISTRO ALIMENTARIO'!B131</f>
        <v>214636.39000000001</v>
      </c>
      <c s="196">
        <f>'REGISTRO ALIMENTARIO'!C131</f>
        <v>15695683.08</v>
      </c>
      <c s="196">
        <f>'REGISTRO ALIMENTARIO'!D131</f>
        <v>521121.67999999999</v>
      </c>
      <c s="317"/>
      <c s="196">
        <f>'REGISTRO ALIMENTARIO'!J131</f>
        <v>4050</v>
      </c>
      <c s="317"/>
      <c s="196">
        <v>0</v>
      </c>
      <c s="196"/>
      <c s="317"/>
      <c s="196"/>
      <c s="196"/>
      <c s="317"/>
      <c s="409">
        <v>0</v>
      </c>
      <c s="410" t="e">
        <f>#N/A</f>
        <v>#N/A</v>
      </c>
      <c r="X68" s="262"/>
    </row>
    <row r="69" spans="1:24" ht="30" customHeight="1" thickBot="1">
      <c r="A69" s="195" t="s">
        <v>240</v>
      </c>
      <c s="180"/>
      <c s="180"/>
      <c s="180"/>
      <c s="149" t="s">
        <v>450</v>
      </c>
      <c s="149"/>
      <c s="406">
        <f>SUM(I69:K69)</f>
        <v>28441865</v>
      </c>
      <c s="250"/>
      <c s="235">
        <f>'REGISTRO ALIMENTARIO'!B64</f>
        <v>10983125</v>
      </c>
      <c s="235">
        <f>'REGISTRO ALIMENTARIO'!C64</f>
        <v>132800</v>
      </c>
      <c s="235">
        <f>'REGISTRO ALIMENTARIO'!D64</f>
        <v>17325940</v>
      </c>
      <c s="236"/>
      <c s="239">
        <f>'REGISTRO ALIMENTARIO'!J64</f>
        <v>896550</v>
      </c>
      <c s="405"/>
      <c s="239">
        <f>P69+R69+S69+U69</f>
        <v>9681510.1000000015</v>
      </c>
      <c s="239">
        <f>'REGISTRO ALIMENTARIO'!F64</f>
        <v>5944073.5499999998</v>
      </c>
      <c s="239"/>
      <c s="239">
        <f>'REGISTRO ALIMENTARIO'!G64</f>
        <v>3284450</v>
      </c>
      <c s="239">
        <f>'REGISTRO ALIMENTARIO'!H64</f>
        <v>211200</v>
      </c>
      <c s="239"/>
      <c s="239">
        <f>'REGISTRO ALIMENTARIO'!I64</f>
        <v>241786.54999999999</v>
      </c>
      <c s="410" t="e">
        <f>#N/A</f>
        <v>#N/A</v>
      </c>
      <c r="X69" s="262"/>
    </row>
    <row r="70" spans="1:24" ht="42.75" customHeight="1" thickTop="1" thickBot="1">
      <c r="A70" s="195"/>
      <c s="180"/>
      <c s="180"/>
      <c s="180"/>
      <c s="149" t="s">
        <v>451</v>
      </c>
      <c s="149"/>
      <c s="406" t="e">
        <f>SUM(I70:K70)</f>
        <v>#N/A</v>
      </c>
      <c s="288"/>
      <c s="206" t="e">
        <f>I55</f>
        <v>#N/A</v>
      </c>
      <c s="206" t="e">
        <f>J55</f>
        <v>#N/A</v>
      </c>
      <c s="206">
        <f>'OAI '!K48</f>
        <v>18330940</v>
      </c>
      <c s="268"/>
      <c s="206">
        <f>M55</f>
        <v>750950.00089999998</v>
      </c>
      <c s="268">
        <f>N51</f>
        <v>0</v>
      </c>
      <c s="206" t="e">
        <f>O55</f>
        <v>#N/A</v>
      </c>
      <c s="206" t="e">
        <f>P55</f>
        <v>#N/A</v>
      </c>
      <c s="326"/>
      <c s="333" t="e">
        <f>R55</f>
        <v>#N/A</v>
      </c>
      <c s="333" t="e">
        <f>S55</f>
        <v>#N/A</v>
      </c>
      <c s="326">
        <v>0</v>
      </c>
      <c s="338" t="e">
        <f>U55</f>
        <v>#N/A</v>
      </c>
      <c s="410" t="e">
        <f>#N/A</f>
        <v>#N/A</v>
      </c>
      <c r="X70" s="262"/>
    </row>
    <row r="71" spans="1:24" ht="0.75" customHeight="1" thickBot="1">
      <c r="A71" s="195"/>
      <c s="180"/>
      <c s="180"/>
      <c s="180"/>
      <c s="1484" t="s">
        <v>431</v>
      </c>
      <c s="1485"/>
      <c s="655">
        <f>SUM(I71:K71)</f>
        <v>0</v>
      </c>
      <c s="656"/>
      <c s="284">
        <v>0</v>
      </c>
      <c s="284">
        <v>0</v>
      </c>
      <c s="252">
        <v>0</v>
      </c>
      <c s="658"/>
      <c s="657">
        <v>0</v>
      </c>
      <c s="658"/>
      <c s="657">
        <v>0</v>
      </c>
      <c s="657">
        <v>0</v>
      </c>
      <c s="659"/>
      <c s="660">
        <v>0</v>
      </c>
      <c s="660">
        <v>0</v>
      </c>
      <c s="659"/>
      <c s="338">
        <v>0</v>
      </c>
      <c s="410">
        <f>K71+M71+P71</f>
        <v>0</v>
      </c>
      <c r="X71" s="262"/>
    </row>
    <row r="72" spans="1:24" ht="40.5" customHeight="1" thickBot="1">
      <c r="A72" s="195"/>
      <c s="180"/>
      <c s="180"/>
      <c s="180"/>
      <c s="1446" t="s">
        <v>452</v>
      </c>
      <c s="1446"/>
      <c s="411" t="e">
        <f>SUM(G68:G70)</f>
        <v>#N/A</v>
      </c>
      <c s="270"/>
      <c s="379" t="e">
        <f>I68+I69+I70</f>
        <v>#N/A</v>
      </c>
      <c s="379" t="e">
        <f>J68+J69+J70-J71</f>
        <v>#N/A</v>
      </c>
      <c s="379">
        <f>K68+K69+K70-K71</f>
        <v>36178001.68</v>
      </c>
      <c s="246"/>
      <c s="379">
        <f>M68+M69+M70</f>
        <v>1651550.0008999999</v>
      </c>
      <c s="379"/>
      <c s="379" t="e">
        <f>O68+O69+O70</f>
        <v>#N/A</v>
      </c>
      <c s="379" t="e">
        <f>SUM(P69:P70)</f>
        <v>#N/A</v>
      </c>
      <c s="380"/>
      <c s="381" t="e">
        <f>SUM(R69:R70)</f>
        <v>#N/A</v>
      </c>
      <c s="381" t="e">
        <f>SUM(S68:S70)</f>
        <v>#N/A</v>
      </c>
      <c s="327"/>
      <c s="382" t="e">
        <f>SUM(U68:U70)</f>
        <v>#N/A</v>
      </c>
      <c s="481" t="e">
        <f>#N/A</f>
        <v>#N/A</v>
      </c>
      <c r="X72" s="172"/>
    </row>
    <row r="73" spans="1:22" ht="24.75" customHeight="1" thickBot="1">
      <c r="A73" s="195"/>
      <c s="180"/>
      <c s="180"/>
      <c s="180"/>
      <c s="1443" t="s">
        <v>453</v>
      </c>
      <c s="1446"/>
      <c s="412">
        <f>SUM(I73:K73)</f>
        <v>27912334.549999997</v>
      </c>
      <c s="270"/>
      <c s="377">
        <f>'REGISTRO ALIMENTARIO'!B128</f>
        <v>10764753.679999998</v>
      </c>
      <c s="377">
        <f>'REGISTRO ALIMENTARIO'!C128</f>
        <v>0</v>
      </c>
      <c s="377">
        <f>'REGISTRO ALIMENTARIO'!D128</f>
        <v>17147580.870000001</v>
      </c>
      <c s="269"/>
      <c s="377">
        <f>'REGISTRO ALIMENTARIO'!J128</f>
        <v>893100</v>
      </c>
      <c s="378"/>
      <c s="377" t="e">
        <f>O72</f>
        <v>#N/A</v>
      </c>
      <c s="377" t="e">
        <f>#N/A</f>
        <v>#N/A</v>
      </c>
      <c s="377"/>
      <c s="377" t="e">
        <f>#N/A</f>
        <v>#N/A</v>
      </c>
      <c s="377" t="e">
        <f>#N/A</f>
        <v>#N/A</v>
      </c>
      <c s="377"/>
      <c s="377" t="e">
        <f>#N/A</f>
        <v>#N/A</v>
      </c>
      <c s="482" t="e">
        <f>#N/A</f>
        <v>#N/A</v>
      </c>
    </row>
    <row r="74" spans="2:22" ht="24" customHeight="1" hidden="1" thickBot="1">
      <c r="B74" s="176"/>
      <c s="176"/>
      <c s="176"/>
      <c s="1488" t="s">
        <v>198</v>
      </c>
      <c s="1488"/>
      <c s="406" t="e">
        <f>#N/A</f>
        <v>#N/A</v>
      </c>
      <c s="271"/>
      <c s="252">
        <v>0</v>
      </c>
      <c s="252"/>
      <c s="184">
        <f>SUM(M74:M74)</f>
        <v>0</v>
      </c>
      <c s="271"/>
      <c s="184">
        <v>0</v>
      </c>
      <c s="271"/>
      <c s="184">
        <v>0</v>
      </c>
      <c s="184"/>
      <c s="327"/>
      <c s="334"/>
      <c s="334">
        <v>0</v>
      </c>
      <c s="328"/>
      <c s="375">
        <f>SUM(M74:S74)</f>
        <v>0</v>
      </c>
      <c s="410" t="e">
        <f>#N/A</f>
        <v>#N/A</v>
      </c>
    </row>
    <row r="75" spans="2:22" ht="24.75" customHeight="1" hidden="1" thickBot="1">
      <c r="B75" s="176"/>
      <c s="176"/>
      <c s="176"/>
      <c s="1489" t="s">
        <v>167</v>
      </c>
      <c s="1489"/>
      <c s="406" t="e">
        <f>#N/A</f>
        <v>#N/A</v>
      </c>
      <c s="271"/>
      <c s="252">
        <v>0</v>
      </c>
      <c s="252"/>
      <c s="184">
        <v>0</v>
      </c>
      <c s="276"/>
      <c s="184">
        <v>0</v>
      </c>
      <c s="271"/>
      <c s="184">
        <v>0</v>
      </c>
      <c s="184"/>
      <c s="327"/>
      <c s="334"/>
      <c s="334"/>
      <c s="276"/>
      <c s="375">
        <f>SUM(M75:S75)</f>
        <v>0</v>
      </c>
      <c s="410" t="e">
        <f>#N/A</f>
        <v>#N/A</v>
      </c>
    </row>
    <row r="76" spans="1:24" ht="31.5" customHeight="1" thickBot="1">
      <c r="A76" s="154" t="s">
        <v>240</v>
      </c>
      <c s="176"/>
      <c s="176"/>
      <c s="176"/>
      <c s="1490" t="s">
        <v>454</v>
      </c>
      <c s="1480"/>
      <c s="406" t="e">
        <f>#N/A</f>
        <v>#N/A</v>
      </c>
      <c s="283"/>
      <c s="284">
        <f>'REGISTRO ALIMENTARIO'!B180</f>
        <v>16147.139999999999</v>
      </c>
      <c s="284">
        <f>'REGISTRO ALIMENTARIO'!C180</f>
        <v>0</v>
      </c>
      <c s="284">
        <f>'REGISTRO ALIMENTARIO'!D180</f>
        <v>25721.369999999999</v>
      </c>
      <c s="276"/>
      <c s="284">
        <v>0</v>
      </c>
      <c s="283"/>
      <c s="284">
        <f>'REGISTRO ALIMENTARIO'!J180</f>
        <v>0</v>
      </c>
      <c s="284"/>
      <c s="330"/>
      <c s="335"/>
      <c s="335"/>
      <c s="276"/>
      <c s="339"/>
      <c s="410" t="e">
        <f>#N/A</f>
        <v>#N/A</v>
      </c>
      <c r="X76" s="316"/>
    </row>
    <row r="77" spans="2:22" ht="23.25" customHeight="1" hidden="1" thickBot="1">
      <c r="B77" s="176"/>
      <c s="176"/>
      <c s="176"/>
      <c s="1480" t="s">
        <v>230</v>
      </c>
      <c s="1480"/>
      <c s="406" t="e">
        <f>#N/A</f>
        <v>#N/A</v>
      </c>
      <c s="271"/>
      <c s="252">
        <v>0</v>
      </c>
      <c s="252">
        <f>'REGISTROS CARGOS DEL DIA'!C7</f>
        <v>0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/>
      <c s="328"/>
      <c s="376" t="e">
        <f>#N/A</f>
        <v>#N/A</v>
      </c>
      <c s="410" t="e">
        <f>#N/A</f>
        <v>#N/A</v>
      </c>
    </row>
    <row r="78" spans="2:22" ht="7.5" customHeight="1" hidden="1" thickBot="1">
      <c r="B78" s="176"/>
      <c s="176"/>
      <c s="176"/>
      <c s="281" t="s">
        <v>231</v>
      </c>
      <c s="281"/>
      <c s="406" t="e">
        <f>#N/A</f>
        <v>#N/A</v>
      </c>
      <c s="279"/>
      <c s="280">
        <v>0</v>
      </c>
      <c s="280">
        <f>SUM(J76:J77)</f>
        <v>0</v>
      </c>
      <c s="284" t="e">
        <f>#N/A</f>
        <v>#N/A</v>
      </c>
      <c s="276"/>
      <c s="280">
        <v>0</v>
      </c>
      <c s="279"/>
      <c s="280">
        <v>0</v>
      </c>
      <c s="280"/>
      <c s="331"/>
      <c s="336"/>
      <c s="336">
        <f>SUM(S76:S77)</f>
        <v>0</v>
      </c>
      <c s="276"/>
      <c s="375" t="e">
        <f>#N/A</f>
        <v>#N/A</v>
      </c>
      <c s="410" t="e">
        <f>#N/A</f>
        <v>#N/A</v>
      </c>
    </row>
    <row r="79" spans="2:22" ht="25.5" customHeight="1" hidden="1" thickBot="1">
      <c r="B79" s="176"/>
      <c s="176"/>
      <c s="176"/>
      <c s="1488" t="s">
        <v>200</v>
      </c>
      <c s="1488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184">
        <v>0</v>
      </c>
      <c s="271"/>
      <c s="184">
        <v>0</v>
      </c>
      <c s="184"/>
      <c s="327"/>
      <c s="334"/>
      <c s="334"/>
      <c s="276"/>
      <c s="375" t="e">
        <f>#N/A</f>
        <v>#N/A</v>
      </c>
      <c s="410" t="e">
        <f>#N/A</f>
        <v>#N/A</v>
      </c>
    </row>
    <row r="80" spans="2:28" ht="36.75" customHeight="1" hidden="1" thickBot="1">
      <c r="B80" s="176"/>
      <c s="176"/>
      <c s="176"/>
      <c s="1480"/>
      <c s="1480"/>
      <c s="406" t="e">
        <f>#N/A</f>
        <v>#N/A</v>
      </c>
      <c s="271"/>
      <c s="252">
        <v>0</v>
      </c>
      <c s="252">
        <v>0</v>
      </c>
      <c s="284" t="e">
        <f>#N/A</f>
        <v>#N/A</v>
      </c>
      <c s="276"/>
      <c s="184">
        <v>0</v>
      </c>
      <c s="271"/>
      <c s="184">
        <v>0</v>
      </c>
      <c s="184"/>
      <c s="327"/>
      <c s="334"/>
      <c s="334"/>
      <c s="328"/>
      <c s="375" t="e">
        <f>#N/A</f>
        <v>#N/A</v>
      </c>
      <c s="410" t="e">
        <f>#N/A</f>
        <v>#N/A</v>
      </c>
      <c r="X80" s="184"/>
      <c s="271"/>
      <c s="252"/>
      <c s="276"/>
      <c s="184"/>
    </row>
    <row r="81" spans="2:22" ht="37.5" customHeight="1" hidden="1" thickBot="1">
      <c r="B81" s="176"/>
      <c s="176"/>
      <c s="176"/>
      <c s="1480" t="s">
        <v>175</v>
      </c>
      <c s="1480"/>
      <c s="406" t="e">
        <f>#N/A</f>
        <v>#N/A</v>
      </c>
      <c s="271"/>
      <c s="184">
        <v>0</v>
      </c>
      <c s="184">
        <v>0</v>
      </c>
      <c s="284" t="e">
        <f>#N/A</f>
        <v>#N/A</v>
      </c>
      <c s="276"/>
      <c s="184">
        <v>0</v>
      </c>
      <c s="271"/>
      <c s="184">
        <v>0</v>
      </c>
      <c s="184"/>
      <c s="327"/>
      <c s="334"/>
      <c s="334"/>
      <c s="276"/>
      <c s="375" t="e">
        <f>#N/A</f>
        <v>#N/A</v>
      </c>
      <c s="410" t="e">
        <f>#N/A</f>
        <v>#N/A</v>
      </c>
    </row>
    <row r="82" spans="2:22" ht="16.5" customHeight="1" hidden="1" thickBot="1">
      <c r="B82" s="176"/>
      <c s="176"/>
      <c s="176"/>
      <c s="1491" t="s">
        <v>181</v>
      </c>
      <c s="1492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184">
        <v>0</v>
      </c>
      <c s="271"/>
      <c s="184">
        <v>0</v>
      </c>
      <c s="184"/>
      <c s="327"/>
      <c s="334"/>
      <c s="334">
        <v>0</v>
      </c>
      <c s="328"/>
      <c s="375" t="e">
        <f>#N/A</f>
        <v>#N/A</v>
      </c>
      <c s="410" t="e">
        <f>#N/A</f>
        <v>#N/A</v>
      </c>
    </row>
    <row r="83" spans="2:22" ht="21.75" customHeight="1" hidden="1" thickBot="1">
      <c r="B83" s="176"/>
      <c s="176"/>
      <c s="176"/>
      <c s="1493" t="s">
        <v>195</v>
      </c>
      <c s="1493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184">
        <v>0</v>
      </c>
      <c s="271"/>
      <c s="184">
        <v>0</v>
      </c>
      <c s="184"/>
      <c s="327"/>
      <c s="334"/>
      <c s="334">
        <v>0</v>
      </c>
      <c s="328"/>
      <c s="376" t="e">
        <f>#N/A</f>
        <v>#N/A</v>
      </c>
      <c s="410" t="e">
        <f>#N/A</f>
        <v>#N/A</v>
      </c>
    </row>
    <row r="84" spans="2:22" ht="17.25" customHeight="1" hidden="1" thickBot="1">
      <c r="B84" s="176"/>
      <c s="176"/>
      <c s="176"/>
      <c s="1480" t="s">
        <v>193</v>
      </c>
      <c s="1480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/>
      <c s="328"/>
      <c s="376" t="e">
        <f>#N/A</f>
        <v>#N/A</v>
      </c>
      <c s="410" t="e">
        <f>#N/A</f>
        <v>#N/A</v>
      </c>
    </row>
    <row r="85" spans="2:22" ht="12.75" customHeight="1" hidden="1" thickBot="1">
      <c r="B85" s="176"/>
      <c s="176"/>
      <c s="176"/>
      <c s="1495" t="s">
        <v>189</v>
      </c>
      <c s="1495"/>
      <c s="406" t="e">
        <f>#N/A</f>
        <v>#N/A</v>
      </c>
      <c s="271"/>
      <c s="252"/>
      <c s="252"/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>
        <v>0</v>
      </c>
      <c s="328"/>
      <c s="376" t="e">
        <f>#N/A</f>
        <v>#N/A</v>
      </c>
      <c s="410" t="e">
        <f>#N/A</f>
        <v>#N/A</v>
      </c>
    </row>
    <row r="86" spans="2:22" ht="0.75" customHeight="1" hidden="1" thickBot="1">
      <c r="B86" s="176"/>
      <c s="176"/>
      <c s="176"/>
      <c s="281" t="s">
        <v>185</v>
      </c>
      <c s="281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>
        <v>0</v>
      </c>
      <c s="328"/>
      <c s="376" t="e">
        <f>#N/A</f>
        <v>#N/A</v>
      </c>
      <c s="410" t="e">
        <f>#N/A</f>
        <v>#N/A</v>
      </c>
    </row>
    <row r="87" spans="2:22" ht="20.25" customHeight="1" hidden="1" thickBot="1">
      <c r="B87" s="176"/>
      <c s="176"/>
      <c s="176"/>
      <c s="1494" t="s">
        <v>197</v>
      </c>
      <c s="1480"/>
      <c s="406" t="e">
        <f>#N/A</f>
        <v>#N/A</v>
      </c>
      <c s="271"/>
      <c s="252">
        <v>0</v>
      </c>
      <c s="252">
        <v>0</v>
      </c>
      <c s="284" t="e">
        <f>#N/A</f>
        <v>#N/A</v>
      </c>
      <c s="271"/>
      <c s="252">
        <v>0</v>
      </c>
      <c s="271"/>
      <c s="252">
        <v>0</v>
      </c>
      <c s="252"/>
      <c s="328"/>
      <c s="334"/>
      <c s="334"/>
      <c s="328"/>
      <c s="376" t="e">
        <f>#N/A</f>
        <v>#N/A</v>
      </c>
      <c s="410" t="e">
        <f>#N/A</f>
        <v>#N/A</v>
      </c>
    </row>
    <row r="88" spans="2:22" ht="18.75" customHeight="1" hidden="1" thickBot="1">
      <c r="B88" s="176"/>
      <c s="176"/>
      <c s="176"/>
      <c s="298" t="s">
        <v>196</v>
      </c>
      <c s="299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>
        <v>0</v>
      </c>
      <c s="205"/>
      <c s="376" t="e">
        <f>#N/A</f>
        <v>#N/A</v>
      </c>
      <c s="410" t="e">
        <f>#N/A</f>
        <v>#N/A</v>
      </c>
    </row>
    <row r="89" spans="2:22" ht="17.25" customHeight="1" hidden="1" thickBot="1">
      <c r="B89" s="176"/>
      <c s="176"/>
      <c s="176"/>
      <c s="281" t="s">
        <v>199</v>
      </c>
      <c s="281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>
        <v>0</v>
      </c>
      <c s="205"/>
      <c s="376" t="e">
        <f>#N/A</f>
        <v>#N/A</v>
      </c>
      <c s="410" t="e">
        <f>#N/A</f>
        <v>#N/A</v>
      </c>
    </row>
    <row r="90" spans="2:22" ht="19.5" customHeight="1" hidden="1" thickBot="1">
      <c r="B90" s="176"/>
      <c s="176"/>
      <c s="176"/>
      <c s="281" t="s">
        <v>224</v>
      </c>
      <c s="281"/>
      <c s="406" t="e">
        <f>#N/A</f>
        <v>#N/A</v>
      </c>
      <c s="184"/>
      <c s="184"/>
      <c s="184"/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/>
      <c s="205"/>
      <c s="376" t="e">
        <f>#N/A</f>
        <v>#N/A</v>
      </c>
      <c s="410" t="e">
        <f>#N/A</f>
        <v>#N/A</v>
      </c>
    </row>
    <row r="91" spans="2:22" ht="24.75" customHeight="1" hidden="1" thickBot="1">
      <c r="B91" s="176"/>
      <c s="176"/>
      <c s="176"/>
      <c s="1496" t="s">
        <v>439</v>
      </c>
      <c s="1496"/>
      <c s="406" t="e">
        <f>#N/A</f>
        <v>#N/A</v>
      </c>
      <c s="184"/>
      <c s="184">
        <v>0</v>
      </c>
      <c s="184">
        <v>0</v>
      </c>
      <c s="284">
        <v>0</v>
      </c>
      <c s="184"/>
      <c s="184">
        <v>0</v>
      </c>
      <c s="184"/>
      <c s="184">
        <v>0</v>
      </c>
      <c s="184"/>
      <c s="327"/>
      <c s="332"/>
      <c s="332"/>
      <c s="205"/>
      <c s="376" t="e">
        <f>#N/A</f>
        <v>#N/A</v>
      </c>
      <c s="410" t="e">
        <f>#N/A</f>
        <v>#N/A</v>
      </c>
    </row>
    <row r="92" spans="2:22" ht="21" customHeight="1" hidden="1" thickBot="1">
      <c r="B92" s="176"/>
      <c s="176"/>
      <c s="176"/>
      <c s="1496" t="s">
        <v>227</v>
      </c>
      <c s="1496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/>
      <c s="205"/>
      <c s="376"/>
      <c s="410" t="e">
        <f>#N/A</f>
        <v>#N/A</v>
      </c>
    </row>
    <row r="93" spans="2:22" ht="22.5" customHeight="1" hidden="1" thickBot="1">
      <c r="B93" s="176"/>
      <c s="176"/>
      <c s="176"/>
      <c s="1496" t="s">
        <v>228</v>
      </c>
      <c s="1496"/>
      <c s="406" t="e">
        <f>#N/A</f>
        <v>#N/A</v>
      </c>
      <c s="184"/>
      <c s="184">
        <v>0</v>
      </c>
      <c s="184">
        <v>0</v>
      </c>
      <c s="284" t="e">
        <f>#N/A</f>
        <v>#N/A</v>
      </c>
      <c s="184"/>
      <c s="184">
        <v>0</v>
      </c>
      <c s="184"/>
      <c s="184">
        <v>0</v>
      </c>
      <c s="184"/>
      <c s="327"/>
      <c s="332"/>
      <c s="332"/>
      <c s="205"/>
      <c s="376"/>
      <c s="410" t="e">
        <f>#N/A</f>
        <v>#N/A</v>
      </c>
    </row>
    <row r="94" spans="2:24" ht="24.75" customHeight="1" thickBot="1">
      <c r="B94" s="176"/>
      <c s="176"/>
      <c s="176" t="s">
        <v>60</v>
      </c>
      <c s="1480" t="s">
        <v>455</v>
      </c>
      <c s="1480"/>
      <c s="406">
        <f>SUM(I94:K94)</f>
        <v>0</v>
      </c>
      <c s="311"/>
      <c s="312">
        <f>'REGISTROS CARGOS DEL DIA'!B7</f>
        <v>0</v>
      </c>
      <c s="312">
        <f>'REGISTROS CARGOS DEL DIA'!C7</f>
        <v>0</v>
      </c>
      <c s="312">
        <f>'REGISTROS CARGOS DEL DIA'!E7</f>
        <v>0</v>
      </c>
      <c s="311"/>
      <c s="312"/>
      <c s="311"/>
      <c s="312">
        <f>'REGISTROS CARGOS DEL DIA'!G7</f>
        <v>0</v>
      </c>
      <c s="312">
        <v>0</v>
      </c>
      <c s="329"/>
      <c s="337"/>
      <c s="337"/>
      <c s="329"/>
      <c s="340">
        <f>SUM(M94:S94)</f>
        <v>0</v>
      </c>
      <c s="410" t="e">
        <f>#N/A</f>
        <v>#N/A</v>
      </c>
      <c r="X94" s="316"/>
    </row>
    <row r="95" spans="2:22" ht="23.25" customHeight="1" hidden="1" thickBot="1">
      <c r="B95" s="176"/>
      <c s="176"/>
      <c s="176"/>
      <c s="1496" t="s">
        <v>435</v>
      </c>
      <c s="1496"/>
      <c s="411">
        <f>SUM(I95:K95)</f>
        <v>0</v>
      </c>
      <c s="313"/>
      <c s="383">
        <v>0</v>
      </c>
      <c s="383">
        <v>0</v>
      </c>
      <c s="383">
        <v>0</v>
      </c>
      <c s="314"/>
      <c s="383">
        <f>SUM(M75:M93)</f>
        <v>0</v>
      </c>
      <c s="313"/>
      <c s="383">
        <f>SUM(O75:O93)</f>
        <v>0</v>
      </c>
      <c s="383">
        <f>SUM(P75:P93)</f>
        <v>0</v>
      </c>
      <c s="384"/>
      <c s="385"/>
      <c s="385">
        <f>SUM(S92:S93)</f>
        <v>0</v>
      </c>
      <c s="314"/>
      <c s="386"/>
      <c s="481" t="e">
        <f>SUM(V75:V93)</f>
        <v>#N/A</v>
      </c>
    </row>
    <row r="96" spans="2:22" ht="22.5" customHeight="1" hidden="1" thickBot="1">
      <c r="B96" s="176"/>
      <c s="176"/>
      <c s="176"/>
      <c s="1496" t="s">
        <v>436</v>
      </c>
      <c s="1496"/>
      <c s="411">
        <f>SUM(I96:K96)</f>
        <v>0</v>
      </c>
      <c s="313"/>
      <c s="383">
        <v>0</v>
      </c>
      <c s="383">
        <v>0</v>
      </c>
      <c s="383">
        <v>0</v>
      </c>
      <c s="314"/>
      <c s="383">
        <f>SUM(M76:M94)</f>
        <v>0</v>
      </c>
      <c s="313"/>
      <c s="383">
        <f>SUM(O76:O94)</f>
        <v>0</v>
      </c>
      <c s="383">
        <f>SUM(P76:P94)</f>
        <v>0</v>
      </c>
      <c s="384"/>
      <c s="385"/>
      <c s="385">
        <f>SUM(S93:S94)</f>
        <v>0</v>
      </c>
      <c s="314"/>
      <c s="386"/>
      <c s="481" t="e">
        <f>SUM(V76:V94)</f>
        <v>#N/A</v>
      </c>
    </row>
    <row r="97" spans="2:22" ht="21" customHeight="1" hidden="1" thickBot="1">
      <c r="B97" s="176"/>
      <c s="176"/>
      <c s="176"/>
      <c s="1496" t="s">
        <v>409</v>
      </c>
      <c s="1496"/>
      <c s="406" t="e">
        <f>#N/A</f>
        <v>#N/A</v>
      </c>
      <c s="246"/>
      <c s="184">
        <v>0</v>
      </c>
      <c s="184">
        <v>0</v>
      </c>
      <c s="184">
        <v>0</v>
      </c>
      <c s="184"/>
      <c s="184">
        <v>0</v>
      </c>
      <c s="246"/>
      <c s="184"/>
      <c s="184"/>
      <c s="327"/>
      <c s="332"/>
      <c s="332"/>
      <c s="205"/>
      <c s="376"/>
      <c s="410" t="e">
        <f>#N/A</f>
        <v>#N/A</v>
      </c>
    </row>
    <row r="98" spans="2:22" ht="20.25" customHeight="1" hidden="1" thickBot="1">
      <c r="B98" s="176"/>
      <c s="176"/>
      <c s="176"/>
      <c s="1484" t="s">
        <v>410</v>
      </c>
      <c s="1485"/>
      <c s="406" t="e">
        <f>#N/A</f>
        <v>#N/A</v>
      </c>
      <c s="246"/>
      <c s="184">
        <v>0</v>
      </c>
      <c s="184">
        <v>0</v>
      </c>
      <c s="184">
        <v>0</v>
      </c>
      <c s="184"/>
      <c s="184"/>
      <c s="246"/>
      <c s="184"/>
      <c s="184"/>
      <c s="327"/>
      <c s="332"/>
      <c s="332"/>
      <c s="205"/>
      <c s="376"/>
      <c s="410"/>
    </row>
    <row r="99" spans="2:22" ht="24" customHeight="1" hidden="1" thickBot="1">
      <c r="B99" s="176"/>
      <c s="176"/>
      <c s="176"/>
      <c s="1484" t="s">
        <v>432</v>
      </c>
      <c s="1485"/>
      <c s="406">
        <f>SUM(I99:K99)</f>
        <v>0</v>
      </c>
      <c s="246"/>
      <c s="184">
        <v>0</v>
      </c>
      <c s="184">
        <v>0</v>
      </c>
      <c s="184">
        <v>0</v>
      </c>
      <c s="184"/>
      <c s="184">
        <v>0</v>
      </c>
      <c s="246"/>
      <c s="184"/>
      <c s="184"/>
      <c s="327"/>
      <c s="332"/>
      <c s="332"/>
      <c s="205"/>
      <c s="376"/>
      <c s="410">
        <f>K99+M99+P99</f>
        <v>0</v>
      </c>
    </row>
    <row r="100" spans="2:25" ht="18.75" customHeight="1" hidden="1" thickBot="1">
      <c r="B100" s="176"/>
      <c s="176"/>
      <c s="176"/>
      <c s="500" t="s">
        <v>402</v>
      </c>
      <c s="601"/>
      <c s="406" t="e">
        <f>#N/A</f>
        <v>#N/A</v>
      </c>
      <c s="246"/>
      <c s="184">
        <v>0</v>
      </c>
      <c s="184">
        <v>0</v>
      </c>
      <c s="184">
        <v>0</v>
      </c>
      <c s="246"/>
      <c s="184">
        <v>0</v>
      </c>
      <c s="246"/>
      <c s="184"/>
      <c s="184"/>
      <c s="327"/>
      <c s="332"/>
      <c s="332"/>
      <c s="327"/>
      <c s="339"/>
      <c s="410" t="e">
        <f>#N/A</f>
        <v>#N/A</v>
      </c>
      <c r="Y100" s="484"/>
    </row>
    <row r="101" spans="2:25" ht="26.25" customHeight="1" hidden="1" thickBot="1">
      <c r="B101" s="176"/>
      <c s="176"/>
      <c s="176"/>
      <c s="500" t="s">
        <v>357</v>
      </c>
      <c s="501"/>
      <c s="406">
        <f>SUM(I101:K101)</f>
        <v>0</v>
      </c>
      <c s="246"/>
      <c s="184"/>
      <c s="184">
        <v>0</v>
      </c>
      <c s="184">
        <v>0</v>
      </c>
      <c s="246"/>
      <c s="184"/>
      <c s="246"/>
      <c s="184"/>
      <c s="184"/>
      <c s="327"/>
      <c s="332"/>
      <c s="332"/>
      <c s="327"/>
      <c s="376"/>
      <c s="410" t="e">
        <f>#N/A</f>
        <v>#N/A</v>
      </c>
      <c r="Y101" s="484" t="e">
        <f>V68+V69+V70</f>
        <v>#N/A</v>
      </c>
    </row>
    <row r="102" spans="2:25" ht="30.75" customHeight="1" hidden="1">
      <c r="B102" s="176"/>
      <c s="176"/>
      <c s="176"/>
      <c s="500" t="s">
        <v>445</v>
      </c>
      <c s="501"/>
      <c s="406">
        <f>SUM(I102:K102)</f>
        <v>0</v>
      </c>
      <c s="246"/>
      <c s="184">
        <v>0</v>
      </c>
      <c s="184">
        <v>0</v>
      </c>
      <c s="184">
        <v>0</v>
      </c>
      <c s="246"/>
      <c s="184">
        <v>0</v>
      </c>
      <c s="246"/>
      <c s="184"/>
      <c s="184"/>
      <c s="327"/>
      <c s="332"/>
      <c s="332"/>
      <c s="327"/>
      <c s="339"/>
      <c s="410" t="e">
        <f>#N/A</f>
        <v>#N/A</v>
      </c>
      <c r="Y102" s="486" t="e">
        <f>V73+V96+V101+V102</f>
        <v>#N/A</v>
      </c>
    </row>
    <row r="103" spans="1:25" ht="31.5" customHeight="1" thickBot="1">
      <c r="A103" s="195"/>
      <c s="180"/>
      <c s="180"/>
      <c s="180"/>
      <c s="364" t="s">
        <v>284</v>
      </c>
      <c s="149"/>
      <c s="413" t="e">
        <f>SUM(I103:K103)</f>
        <v>#N/A</v>
      </c>
      <c s="427"/>
      <c s="414" t="e">
        <f>I72-I73-I76-I94-I102-I96-I95-I91</f>
        <v>#N/A</v>
      </c>
      <c s="414" t="e">
        <f>J72-J73-J76-J94-J102-J96-J95-J91</f>
        <v>#N/A</v>
      </c>
      <c s="414">
        <f>K72-K73-K76-K94-K102-K96-K95-K91</f>
        <v>19004699.439999998</v>
      </c>
      <c s="428"/>
      <c s="414">
        <f>M72-M73</f>
        <v>758450.00089999987</v>
      </c>
      <c s="429"/>
      <c s="414" t="e">
        <f>O72-O73-O96</f>
        <v>#N/A</v>
      </c>
      <c s="414" t="e">
        <f>P72-P73-P96</f>
        <v>#N/A</v>
      </c>
      <c s="415"/>
      <c s="414" t="e">
        <f>R72-R73-R96</f>
        <v>#N/A</v>
      </c>
      <c s="413" t="e">
        <f>S72-S73-S96</f>
        <v>#N/A</v>
      </c>
      <c s="478"/>
      <c s="416" t="e">
        <f>U72-U73-U96</f>
        <v>#N/A</v>
      </c>
      <c s="417" t="e">
        <f>V72-V73-V96-V100-V101-V102</f>
        <v>#N/A</v>
      </c>
      <c r="Y103" s="483" t="e">
        <f>Y101-Y102</f>
        <v>#N/A</v>
      </c>
    </row>
    <row r="104" spans="1:22" ht="21" customHeight="1" thickTop="1">
      <c r="A104" s="191"/>
      <c s="176"/>
      <c s="176"/>
      <c s="176"/>
      <c s="197"/>
      <c s="179"/>
      <c s="266"/>
      <c s="179"/>
      <c s="179"/>
      <c s="179"/>
      <c s="194"/>
      <c s="194"/>
      <c s="193">
        <v>0</v>
      </c>
      <c s="193"/>
      <c s="193"/>
      <c s="193"/>
      <c s="193"/>
      <c s="193"/>
      <c s="191"/>
      <c s="191"/>
      <c r="V104" s="181"/>
    </row>
    <row r="105" spans="1:22" ht="15" customHeight="1" hidden="1">
      <c r="A105" s="191"/>
      <c s="176"/>
      <c s="176"/>
      <c s="176"/>
      <c s="197"/>
      <c s="179"/>
      <c s="266"/>
      <c s="179"/>
      <c s="179"/>
      <c s="179"/>
      <c s="194"/>
      <c s="194"/>
      <c s="193"/>
      <c s="193"/>
      <c s="193"/>
      <c s="193"/>
      <c s="193"/>
      <c s="193"/>
      <c s="191"/>
      <c s="191"/>
      <c r="V105" s="181"/>
    </row>
    <row r="106" spans="1:25" ht="23.25" customHeight="1">
      <c r="A106" s="191"/>
      <c s="176"/>
      <c s="176"/>
      <c s="176"/>
      <c s="197"/>
      <c s="294" t="s">
        <v>60</v>
      </c>
      <c s="266"/>
      <c s="179"/>
      <c s="179"/>
      <c s="179"/>
      <c s="179"/>
      <c s="194"/>
      <c s="193"/>
      <c s="193"/>
      <c s="193"/>
      <c s="193"/>
      <c s="193"/>
      <c s="193"/>
      <c s="289"/>
      <c s="191"/>
      <c r="V106" s="181"/>
      <c r="Y106" s="172"/>
    </row>
    <row r="107" spans="4:22" s="591" customFormat="1" ht="39.75" customHeight="1">
      <c r="D107" s="619" t="s">
        <v>406</v>
      </c>
      <c s="620" t="s">
        <v>223</v>
      </c>
      <c s="621"/>
      <c s="622"/>
      <c s="621"/>
      <c s="621"/>
      <c s="621"/>
      <c s="621"/>
      <c s="623"/>
      <c s="621"/>
      <c s="621"/>
      <c s="621"/>
      <c s="621"/>
      <c s="621"/>
      <c s="621"/>
      <c s="624"/>
      <c r="V107" s="625"/>
    </row>
    <row r="108" spans="1:22" ht="22.5" customHeight="1">
      <c r="A108" s="191"/>
      <c r="D108" s="295"/>
      <c s="197"/>
      <c s="294"/>
      <c s="266"/>
      <c s="179"/>
      <c s="294"/>
      <c s="294"/>
      <c s="179"/>
      <c s="194"/>
      <c s="193"/>
      <c s="193"/>
      <c s="193"/>
      <c s="365"/>
      <c s="365"/>
      <c s="365"/>
      <c s="289"/>
      <c s="191"/>
      <c r="V108" s="181"/>
    </row>
    <row r="109" spans="1:22" ht="16.5" customHeight="1">
      <c r="A109" s="191"/>
      <c r="D109" s="295"/>
      <c s="197"/>
      <c s="294"/>
      <c s="266"/>
      <c s="179"/>
      <c s="179"/>
      <c s="179"/>
      <c s="179"/>
      <c s="194"/>
      <c s="193"/>
      <c s="193"/>
      <c s="193"/>
      <c s="193"/>
      <c s="193"/>
      <c s="193"/>
      <c s="289"/>
      <c s="191"/>
      <c s="172"/>
      <c s="181"/>
    </row>
    <row r="110" spans="1:22" ht="101.25" customHeight="1">
      <c r="A110" s="191"/>
      <c r="D110" s="295"/>
      <c s="197" t="s">
        <v>60</v>
      </c>
      <c s="294"/>
      <c s="266"/>
      <c s="179"/>
      <c s="179"/>
      <c s="179"/>
      <c s="179"/>
      <c s="194"/>
      <c s="193"/>
      <c s="193"/>
      <c s="193"/>
      <c s="193"/>
      <c s="193"/>
      <c s="193"/>
      <c s="289"/>
      <c s="191"/>
      <c r="V110" s="181"/>
    </row>
    <row r="112" spans="7:7" ht="12.75">
      <c r="G112" s="262"/>
    </row>
    <row r="113" spans="1:21" s="1" customFormat="1" ht="18">
      <c r="A113" s="49"/>
      <c s="49"/>
      <c s="49"/>
      <c s="431" t="s">
        <v>414</v>
      </c>
      <c r="F113" s="1504" t="s">
        <v>405</v>
      </c>
      <c s="1504"/>
      <c s="1504"/>
      <c s="431"/>
      <c s="431" t="s">
        <v>183</v>
      </c>
      <c r="L113" s="431"/>
      <c s="431"/>
      <c r="O113" s="431" t="s">
        <v>430</v>
      </c>
      <c r="R113" s="435"/>
      <c s="431"/>
      <c s="431"/>
      <c s="431" t="s">
        <v>376</v>
      </c>
    </row>
    <row r="114" spans="1:21" s="0" customFormat="1" ht="18">
      <c r="A114" s="3"/>
      <c s="50"/>
      <c s="50"/>
      <c s="433" t="s">
        <v>159</v>
      </c>
      <c s="154"/>
      <c s="1505" t="s">
        <v>6</v>
      </c>
      <c s="1505"/>
      <c s="1505"/>
      <c s="432"/>
      <c s="432" t="s">
        <v>165</v>
      </c>
      <c s="154"/>
      <c s="432"/>
      <c s="432"/>
      <c s="154"/>
      <c s="432" t="s">
        <v>364</v>
      </c>
      <c s="154"/>
      <c s="154"/>
      <c s="434"/>
      <c s="432"/>
      <c s="432"/>
      <c s="432" t="s">
        <v>377</v>
      </c>
    </row>
    <row r="115" spans="1:21" s="53" customFormat="1" ht="18">
      <c r="A115" s="51"/>
      <c s="52"/>
      <c s="52"/>
      <c s="52"/>
      <c s="433"/>
      <c s="1506" t="s">
        <v>63</v>
      </c>
      <c s="1506"/>
      <c s="1506"/>
      <c s="433"/>
      <c s="433" t="s">
        <v>7</v>
      </c>
      <c s="191"/>
      <c s="191"/>
      <c s="191"/>
      <c r="O115" s="191" t="s">
        <v>329</v>
      </c>
      <c r="R115" s="436"/>
      <c s="433"/>
      <c s="433"/>
      <c s="433" t="s">
        <v>65</v>
      </c>
    </row>
    <row r="116" spans="11:19" ht="18">
      <c r="K116" s="191"/>
      <c r="R116" s="51"/>
      <c s="433"/>
    </row>
    <row r="117" spans="7:10" ht="12.75">
      <c r="G117" s="262"/>
      <c r="I117" s="172"/>
      <c s="172"/>
    </row>
    <row r="118" spans="1:23" s="53" customFormat="1" ht="18">
      <c r="A118" s="51"/>
      <c s="52"/>
      <c s="52"/>
      <c s="52"/>
      <c s="51"/>
      <c s="506"/>
      <c s="513"/>
      <c s="51"/>
      <c s="507"/>
      <c s="507"/>
      <c s="507"/>
      <c s="52"/>
      <c s="51"/>
      <c r="O118" s="316"/>
      <c s="316"/>
      <c s="316"/>
      <c s="316"/>
      <c r="U118" s="154"/>
      <c s="51"/>
      <c s="51"/>
    </row>
    <row r="119" spans="9:9" ht="12.75">
      <c r="I119" s="154" t="s">
        <v>240</v>
      </c>
    </row>
    <row r="120" spans="5:9" ht="15">
      <c r="E120" s="197"/>
      <c s="179"/>
      <c s="266"/>
      <c s="179"/>
      <c s="179"/>
    </row>
    <row r="121" spans="5:9" ht="15">
      <c r="E121" s="197"/>
      <c s="179"/>
      <c s="266"/>
      <c s="179"/>
      <c s="179"/>
    </row>
    <row r="125" spans="9:9" ht="12.75">
      <c r="I125" s="172"/>
    </row>
  </sheetData>
  <mergeCells count="48">
    <mergeCell ref="E98:F98"/>
    <mergeCell ref="E99:F99"/>
    <mergeCell ref="F113:H113"/>
    <mergeCell ref="F114:H114"/>
    <mergeCell ref="F115:H115"/>
    <mergeCell ref="E92:F92"/>
    <mergeCell ref="E93:F93"/>
    <mergeCell ref="E94:F94"/>
    <mergeCell ref="E95:F95"/>
    <mergeCell ref="E96:F96"/>
    <mergeCell ref="E97:F97"/>
    <mergeCell ref="E82:F82"/>
    <mergeCell ref="E83:F83"/>
    <mergeCell ref="E84:F84"/>
    <mergeCell ref="E85:F85"/>
    <mergeCell ref="E87:F87"/>
    <mergeCell ref="E91:F91"/>
    <mergeCell ref="E75:F75"/>
    <mergeCell ref="E76:F76"/>
    <mergeCell ref="E77:F77"/>
    <mergeCell ref="E79:F79"/>
    <mergeCell ref="E80:F80"/>
    <mergeCell ref="E81:F81"/>
    <mergeCell ref="E55:F55"/>
    <mergeCell ref="E68:F68"/>
    <mergeCell ref="E71:F71"/>
    <mergeCell ref="E72:F72"/>
    <mergeCell ref="E73:F73"/>
    <mergeCell ref="E74:F74"/>
    <mergeCell ref="V8:V9"/>
    <mergeCell ref="E47:F47"/>
    <mergeCell ref="E48:F48"/>
    <mergeCell ref="E49:F49"/>
    <mergeCell ref="E50:F50"/>
    <mergeCell ref="E51:F51"/>
    <mergeCell ref="A8:A9"/>
    <mergeCell ref="B8:B9"/>
    <mergeCell ref="C8:C9"/>
    <mergeCell ref="D8:D9"/>
    <mergeCell ref="I8:K8"/>
    <mergeCell ref="P8:U8"/>
    <mergeCell ref="A2:T2"/>
    <mergeCell ref="A3:T3"/>
    <mergeCell ref="A4:T4"/>
    <mergeCell ref="A5:T5"/>
    <mergeCell ref="A6:T6"/>
    <mergeCell ref="A7:L7"/>
    <mergeCell ref="O7:T7"/>
  </mergeCells>
  <pageMargins left="0.7" right="0.7" top="0.75" bottom="0.75" header="0.3" footer="0.3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8"/>
  <dimension ref="B1:N54"/>
  <sheetViews>
    <sheetView zoomScale="94" zoomScaleNormal="94" zoomScaleSheetLayoutView="94" workbookViewId="0" topLeftCell="A19">
      <selection pane="topLeft" activeCell="N41" sqref="N41"/>
    </sheetView>
  </sheetViews>
  <sheetFormatPr defaultRowHeight="12.75"/>
  <cols>
    <col min="1" max="1" width="11.4285714285714" style="53"/>
    <col min="2" max="2" width="9.57142857142857" style="53" customWidth="1"/>
    <col min="3" max="3" width="15.8571428571429" style="53" customWidth="1"/>
    <col min="4" max="5" width="11.4285714285714" style="53"/>
    <col min="6" max="6" width="11.4285714285714" style="53" customWidth="1"/>
    <col min="7" max="7" width="36" style="53" customWidth="1"/>
    <col min="8" max="8" width="14" style="53" customWidth="1"/>
    <col min="9" max="9" width="16.1428571428571" style="53" customWidth="1"/>
    <col min="10" max="10" width="1.71428571428571" style="53" hidden="1" customWidth="1"/>
    <col min="11" max="11" width="14.4285714285714" style="53" customWidth="1"/>
    <col min="12" max="12" width="12.8571428571429" style="53" bestFit="1" customWidth="1"/>
    <col min="13" max="13" width="16" style="53" bestFit="1" customWidth="1"/>
    <col min="14" max="15" width="12.8571428571429" style="53" bestFit="1" customWidth="1"/>
    <col min="16" max="16384" width="11.4285714285714" style="53"/>
  </cols>
  <sheetData>
    <row r="1" spans="2:12" s="1" customFormat="1" ht="15.75">
      <c r="B1" s="37"/>
      <c s="37"/>
      <c s="37"/>
      <c s="37"/>
      <c s="37"/>
      <c s="37"/>
      <c s="37"/>
      <c s="36"/>
      <c s="36"/>
      <c s="79" t="s">
        <v>74</v>
      </c>
      <c s="1192"/>
    </row>
    <row r="2" spans="2:11" s="1" customFormat="1" ht="15.75">
      <c r="B2" s="37"/>
      <c s="37"/>
      <c s="37"/>
      <c s="37"/>
      <c s="37"/>
      <c s="37"/>
      <c s="37"/>
      <c s="36"/>
      <c s="36"/>
      <c s="79" t="str">
        <f>+'REGISTRO TRAMITES DEL DIA '!A6</f>
        <v>Del 30 de Noviembre 2024</v>
      </c>
    </row>
    <row r="3" spans="2:11" s="1" customFormat="1" ht="18" customHeight="1">
      <c r="B3" s="37"/>
      <c s="37"/>
      <c s="37"/>
      <c s="37"/>
      <c s="37"/>
      <c s="37"/>
      <c s="37"/>
      <c s="36"/>
      <c s="36"/>
      <c s="79"/>
    </row>
    <row r="4" spans="2:11" s="1" customFormat="1" ht="15.75">
      <c r="B4" s="37" t="s">
        <v>75</v>
      </c>
      <c s="37"/>
      <c s="37"/>
      <c s="37"/>
      <c s="37"/>
      <c s="37"/>
      <c s="37"/>
      <c s="36"/>
      <c s="36"/>
      <c s="81"/>
    </row>
    <row r="5" spans="2:11" s="1" customFormat="1" ht="13.5" customHeight="1">
      <c r="B5" s="37"/>
      <c s="37"/>
      <c s="37"/>
      <c s="37"/>
      <c s="37"/>
      <c s="37"/>
      <c s="37"/>
      <c s="36"/>
      <c s="36"/>
      <c s="81"/>
    </row>
    <row r="6" spans="2:11" s="1" customFormat="1" ht="15.75">
      <c r="B6" s="1507" t="s">
        <v>76</v>
      </c>
      <c s="1507"/>
      <c s="1507"/>
      <c s="1507"/>
      <c s="1507"/>
      <c s="1507"/>
      <c s="37"/>
      <c s="36"/>
      <c s="36"/>
      <c s="81"/>
    </row>
    <row r="7" spans="2:11" s="1" customFormat="1" ht="12.75" customHeight="1">
      <c r="B7" s="37"/>
      <c s="37"/>
      <c s="37"/>
      <c s="37"/>
      <c s="37"/>
      <c s="37"/>
      <c s="37"/>
      <c s="36"/>
      <c s="36"/>
      <c s="81"/>
    </row>
    <row r="8" spans="2:11" s="1" customFormat="1" ht="15.75">
      <c r="B8" s="37" t="s">
        <v>77</v>
      </c>
      <c s="37"/>
      <c s="37"/>
      <c s="37"/>
      <c s="37"/>
      <c s="37"/>
      <c s="37"/>
      <c s="36"/>
      <c s="36"/>
      <c s="81"/>
    </row>
    <row r="9" spans="2:11" s="1" customFormat="1" ht="15.75">
      <c r="B9" s="37" t="s">
        <v>78</v>
      </c>
      <c s="37"/>
      <c s="37"/>
      <c s="37"/>
      <c s="37"/>
      <c s="37"/>
      <c s="37"/>
      <c s="36"/>
      <c s="36"/>
      <c s="81"/>
    </row>
    <row r="10" spans="2:11" s="1" customFormat="1" ht="15.75">
      <c r="B10" s="37" t="s">
        <v>79</v>
      </c>
      <c s="37"/>
      <c s="37"/>
      <c s="37"/>
      <c s="37"/>
      <c s="37"/>
      <c s="37"/>
      <c s="36"/>
      <c s="36"/>
      <c s="81"/>
    </row>
    <row r="11" spans="2:11" s="1" customFormat="1" ht="15.75">
      <c r="B11" s="37" t="s">
        <v>80</v>
      </c>
      <c s="37"/>
      <c s="37"/>
      <c s="37"/>
      <c s="37"/>
      <c s="37"/>
      <c s="37"/>
      <c s="36"/>
      <c s="36"/>
      <c s="81"/>
    </row>
    <row r="12" spans="2:11" s="1" customFormat="1" ht="15.75">
      <c r="B12" s="37" t="s">
        <v>81</v>
      </c>
      <c s="37"/>
      <c s="37"/>
      <c s="37"/>
      <c s="37"/>
      <c s="37"/>
      <c s="37"/>
      <c s="36"/>
      <c s="36"/>
      <c s="81"/>
    </row>
    <row r="13" spans="2:11" s="1" customFormat="1" ht="15.75">
      <c r="B13" s="37" t="s">
        <v>82</v>
      </c>
      <c s="37"/>
      <c s="37"/>
      <c s="37"/>
      <c s="37"/>
      <c s="37"/>
      <c s="37" t="s">
        <v>60</v>
      </c>
      <c s="36"/>
      <c s="36"/>
      <c s="81"/>
    </row>
    <row r="14" spans="2:11" s="1" customFormat="1" ht="15.75">
      <c r="B14" s="37" t="s">
        <v>122</v>
      </c>
      <c s="37"/>
      <c s="37"/>
      <c s="37"/>
      <c s="37"/>
      <c s="37"/>
      <c s="37"/>
      <c s="36"/>
      <c s="36"/>
      <c s="81"/>
    </row>
    <row r="15" spans="2:11" s="1" customFormat="1" ht="15.75">
      <c r="B15" s="37" t="s">
        <v>123</v>
      </c>
      <c s="37"/>
      <c s="37"/>
      <c s="37"/>
      <c s="37"/>
      <c s="37"/>
      <c s="37"/>
      <c s="36"/>
      <c s="36"/>
      <c s="81"/>
    </row>
    <row r="16" spans="2:11" s="1" customFormat="1" ht="15.75">
      <c r="B16" s="37" t="s">
        <v>166</v>
      </c>
      <c s="37"/>
      <c s="37"/>
      <c s="37"/>
      <c s="37"/>
      <c s="37"/>
      <c s="37"/>
      <c s="36"/>
      <c s="36"/>
      <c s="81"/>
    </row>
    <row r="17" spans="2:11" s="1" customFormat="1" ht="15.75">
      <c r="B17" s="37" t="s">
        <v>166</v>
      </c>
      <c s="37"/>
      <c s="37"/>
      <c s="37"/>
      <c s="37"/>
      <c s="37"/>
      <c s="37"/>
      <c s="36"/>
      <c s="36"/>
      <c s="81"/>
    </row>
    <row r="18" spans="2:11" s="1" customFormat="1" ht="17.25" customHeight="1">
      <c r="B18" s="37"/>
      <c s="37"/>
      <c s="37"/>
      <c s="37"/>
      <c s="37"/>
      <c s="37"/>
      <c s="37"/>
      <c s="36"/>
      <c s="36"/>
      <c s="81"/>
    </row>
    <row r="19" spans="2:11" s="1" customFormat="1" ht="17.25" customHeight="1">
      <c r="B19" s="37"/>
      <c s="37"/>
      <c s="37"/>
      <c s="37"/>
      <c s="37"/>
      <c s="37"/>
      <c s="37"/>
      <c s="36"/>
      <c s="36"/>
      <c s="81"/>
    </row>
    <row r="20" spans="2:11" s="1" customFormat="1" ht="15.75" customHeight="1">
      <c r="B20" s="1193" t="s">
        <v>638</v>
      </c>
      <c s="1194"/>
      <c s="1194"/>
      <c s="1194"/>
      <c s="1194"/>
      <c s="1194"/>
      <c s="1195">
        <f>K46</f>
        <v>896549.99799999991</v>
      </c>
      <c s="1196"/>
      <c s="1197"/>
      <c s="82"/>
    </row>
    <row r="21" spans="2:13" s="1" customFormat="1" ht="23.25" customHeight="1" hidden="1" thickBot="1">
      <c r="B21" s="1193"/>
      <c s="1193"/>
      <c s="1194" t="s">
        <v>403</v>
      </c>
      <c s="1194"/>
      <c s="1194"/>
      <c s="1194"/>
      <c s="1198">
        <v>4500</v>
      </c>
      <c s="1196"/>
      <c s="1197"/>
      <c s="82"/>
      <c r="M21" s="1199"/>
    </row>
    <row r="22" spans="2:11" s="1" customFormat="1" ht="27.75" customHeight="1" hidden="1" thickTop="1">
      <c r="B22" s="1193" t="s">
        <v>229</v>
      </c>
      <c s="1194"/>
      <c s="1194"/>
      <c s="1194"/>
      <c s="1194"/>
      <c s="1194"/>
      <c s="1200">
        <v>0</v>
      </c>
      <c s="1196"/>
      <c s="1197"/>
      <c s="82"/>
    </row>
    <row r="23" spans="2:11" s="1" customFormat="1" ht="8.25" customHeight="1" hidden="1">
      <c r="B23" s="1201"/>
      <c s="1201"/>
      <c s="1202"/>
      <c s="1202"/>
      <c s="1202"/>
      <c s="1202"/>
      <c s="1202"/>
      <c s="1203"/>
      <c s="36"/>
      <c s="81"/>
    </row>
    <row r="24" spans="2:11" s="1" customFormat="1" ht="15" customHeight="1" hidden="1">
      <c r="B24" s="35"/>
      <c s="35"/>
      <c s="37"/>
      <c s="37"/>
      <c s="37"/>
      <c s="37"/>
      <c s="37"/>
      <c s="36"/>
      <c s="36"/>
      <c s="81"/>
    </row>
    <row r="25" spans="2:11" s="1" customFormat="1" ht="15.75">
      <c r="B25" s="37" t="s">
        <v>653</v>
      </c>
      <c s="37"/>
      <c s="35"/>
      <c s="35"/>
      <c s="35"/>
      <c s="37"/>
      <c s="37"/>
      <c s="1204"/>
      <c s="1204"/>
      <c s="1205"/>
    </row>
    <row r="26" spans="2:13" s="1" customFormat="1" ht="13.5" customHeight="1">
      <c r="B26" s="37" t="s">
        <v>429</v>
      </c>
      <c s="37"/>
      <c s="35"/>
      <c s="35"/>
      <c s="35"/>
      <c s="37"/>
      <c s="37"/>
      <c s="1204"/>
      <c s="1204"/>
      <c s="1205"/>
      <c r="M26" s="241"/>
    </row>
    <row r="27" spans="2:14" s="1" customFormat="1" ht="20.25" customHeight="1" thickBot="1">
      <c r="B27" s="32" t="s">
        <v>35</v>
      </c>
      <c s="32" t="s">
        <v>36</v>
      </c>
      <c s="32"/>
      <c s="32"/>
      <c s="32"/>
      <c s="32" t="s">
        <v>190</v>
      </c>
      <c s="33" t="s">
        <v>10</v>
      </c>
      <c s="33" t="s">
        <v>37</v>
      </c>
      <c s="33"/>
      <c s="34" t="s">
        <v>11</v>
      </c>
      <c s="1" t="s">
        <v>192</v>
      </c>
      <c r="N27" s="274"/>
    </row>
    <row r="28" spans="2:13" s="1" customFormat="1" ht="19.5" customHeight="1">
      <c r="B28" s="302">
        <v>1</v>
      </c>
      <c s="35" t="s">
        <v>715</v>
      </c>
      <c s="35"/>
      <c s="290"/>
      <c s="290"/>
      <c s="290"/>
      <c s="302">
        <v>93</v>
      </c>
      <c s="1206">
        <v>5000</v>
      </c>
      <c s="1206"/>
      <c s="38">
        <f>+H28*I28</f>
        <v>465000</v>
      </c>
      <c r="M28" s="241"/>
    </row>
    <row r="29" spans="2:13" s="1" customFormat="1" ht="19.5" customHeight="1">
      <c r="B29" s="302">
        <v>2</v>
      </c>
      <c s="35" t="s">
        <v>715</v>
      </c>
      <c s="35"/>
      <c s="290"/>
      <c s="290"/>
      <c s="290"/>
      <c s="302">
        <v>15</v>
      </c>
      <c s="1206">
        <v>1500</v>
      </c>
      <c s="1206"/>
      <c s="38">
        <f>+H29*I29</f>
        <v>22500</v>
      </c>
      <c r="M29" s="241"/>
    </row>
    <row r="30" spans="2:13" s="1" customFormat="1" ht="19.5" customHeight="1">
      <c r="B30" s="302">
        <v>3</v>
      </c>
      <c s="35" t="s">
        <v>239</v>
      </c>
      <c s="35"/>
      <c s="290"/>
      <c s="290"/>
      <c s="290"/>
      <c s="302">
        <v>13</v>
      </c>
      <c s="1206">
        <v>1500</v>
      </c>
      <c s="1206"/>
      <c s="38">
        <f t="shared" si="0" ref="K30:K37">+H30*I30</f>
        <v>19500</v>
      </c>
      <c r="M30" s="241"/>
    </row>
    <row r="31" spans="2:13" s="1" customFormat="1" ht="19.5" customHeight="1">
      <c r="B31" s="302">
        <v>10</v>
      </c>
      <c s="35" t="s">
        <v>752</v>
      </c>
      <c s="35"/>
      <c s="290"/>
      <c s="290"/>
      <c s="290"/>
      <c s="302">
        <v>1</v>
      </c>
      <c s="1206">
        <v>1000</v>
      </c>
      <c s="1206"/>
      <c s="38">
        <f t="shared" si="0"/>
        <v>1000</v>
      </c>
      <c r="M31" s="241"/>
    </row>
    <row r="32" spans="2:13" s="1" customFormat="1" ht="19.5" customHeight="1">
      <c r="B32" s="302">
        <v>11</v>
      </c>
      <c s="35" t="s">
        <v>233</v>
      </c>
      <c s="35"/>
      <c s="290"/>
      <c s="290"/>
      <c s="290"/>
      <c s="302">
        <v>36</v>
      </c>
      <c s="1206">
        <v>50</v>
      </c>
      <c s="1206"/>
      <c s="38">
        <f t="shared" si="0"/>
        <v>1800</v>
      </c>
      <c r="M32" s="241"/>
    </row>
    <row r="33" spans="2:13" s="1" customFormat="1" ht="19.5" customHeight="1">
      <c r="B33" s="302">
        <v>16</v>
      </c>
      <c s="35" t="s">
        <v>237</v>
      </c>
      <c s="35"/>
      <c s="290"/>
      <c s="290"/>
      <c s="290"/>
      <c s="302">
        <v>44</v>
      </c>
      <c s="1206">
        <v>1000</v>
      </c>
      <c s="1206"/>
      <c s="38">
        <f t="shared" si="0"/>
        <v>44000</v>
      </c>
      <c r="M33" s="241"/>
    </row>
    <row r="34" spans="2:13" s="1" customFormat="1" ht="19.5" customHeight="1">
      <c r="B34" s="302">
        <v>21</v>
      </c>
      <c s="35" t="s">
        <v>753</v>
      </c>
      <c s="35"/>
      <c s="290"/>
      <c s="290"/>
      <c s="290"/>
      <c s="302">
        <v>1</v>
      </c>
      <c s="1206">
        <v>500</v>
      </c>
      <c s="1206"/>
      <c s="38">
        <f t="shared" si="0"/>
        <v>500</v>
      </c>
      <c r="M34" s="241"/>
    </row>
    <row r="35" spans="2:13" s="1" customFormat="1" ht="18.75" customHeight="1">
      <c r="B35" s="302">
        <v>23</v>
      </c>
      <c s="35" t="s">
        <v>720</v>
      </c>
      <c s="35"/>
      <c s="290"/>
      <c s="290"/>
      <c s="290"/>
      <c s="302">
        <v>39</v>
      </c>
      <c s="1206">
        <v>1000</v>
      </c>
      <c s="1206"/>
      <c s="38">
        <f t="shared" si="0"/>
        <v>39000</v>
      </c>
      <c r="M35" s="241"/>
    </row>
    <row r="36" spans="2:13" s="1" customFormat="1" ht="18.75" customHeight="1">
      <c r="B36" s="302">
        <v>29</v>
      </c>
      <c s="35" t="s">
        <v>286</v>
      </c>
      <c s="35"/>
      <c s="290"/>
      <c s="290"/>
      <c s="290"/>
      <c s="302">
        <v>7</v>
      </c>
      <c s="1206">
        <v>2142.857</v>
      </c>
      <c s="1206"/>
      <c s="38">
        <f t="shared" si="0"/>
        <v>14999.999</v>
      </c>
      <c r="M36" s="241"/>
    </row>
    <row r="37" spans="2:13" s="1" customFormat="1" ht="18.75" customHeight="1">
      <c r="B37" s="302">
        <v>37</v>
      </c>
      <c s="35" t="s">
        <v>238</v>
      </c>
      <c s="35"/>
      <c s="290"/>
      <c s="290"/>
      <c s="290"/>
      <c s="302">
        <v>15</v>
      </c>
      <c s="1206">
        <v>3400</v>
      </c>
      <c s="1206"/>
      <c s="38">
        <f t="shared" si="0"/>
        <v>51000</v>
      </c>
      <c r="M37" s="241"/>
    </row>
    <row r="38" spans="2:13" s="1" customFormat="1" ht="24.75" customHeight="1" thickBot="1">
      <c r="B38" s="82" t="s">
        <v>607</v>
      </c>
      <c r="D38" s="290"/>
      <c r="J38" s="293"/>
      <c s="303">
        <f>SUM(K28:K37)</f>
        <v>659299.99899999995</v>
      </c>
      <c r="M38" s="1207"/>
    </row>
    <row r="39" spans="2:14" s="1" customFormat="1" ht="31.5" customHeight="1" thickTop="1" thickBot="1">
      <c r="B39" s="32" t="s">
        <v>35</v>
      </c>
      <c s="1208" t="s">
        <v>36</v>
      </c>
      <c s="1208"/>
      <c s="32"/>
      <c s="32"/>
      <c s="32" t="s">
        <v>190</v>
      </c>
      <c s="1208" t="s">
        <v>428</v>
      </c>
      <c s="1208" t="s">
        <v>37</v>
      </c>
      <c s="1208"/>
      <c s="1209" t="s">
        <v>11</v>
      </c>
      <c s="1" t="s">
        <v>192</v>
      </c>
      <c r="N39" s="1199"/>
    </row>
    <row r="40" spans="2:13" s="1" customFormat="1" ht="15.75">
      <c r="B40" s="302">
        <v>29</v>
      </c>
      <c s="35" t="s">
        <v>286</v>
      </c>
      <c s="290"/>
      <c s="290"/>
      <c s="290"/>
      <c s="290"/>
      <c s="302">
        <v>16</v>
      </c>
      <c s="1206">
        <v>3000</v>
      </c>
      <c s="1206"/>
      <c s="38">
        <f>+H40*I40</f>
        <v>48000</v>
      </c>
      <c r="M40" s="241"/>
    </row>
    <row r="41" spans="2:13" s="1" customFormat="1" ht="15.75">
      <c r="B41" s="302">
        <v>31</v>
      </c>
      <c s="35" t="s">
        <v>289</v>
      </c>
      <c s="290"/>
      <c s="290"/>
      <c s="290"/>
      <c s="290"/>
      <c s="302">
        <v>1</v>
      </c>
      <c s="1206">
        <v>4000</v>
      </c>
      <c s="1206"/>
      <c s="38">
        <f>+H41*I41</f>
        <v>4000</v>
      </c>
      <c r="M41" s="241"/>
    </row>
    <row r="42" spans="2:13" s="1" customFormat="1" ht="15.75">
      <c r="B42" s="302">
        <v>35</v>
      </c>
      <c s="35" t="s">
        <v>304</v>
      </c>
      <c s="290"/>
      <c s="290"/>
      <c s="290"/>
      <c s="290"/>
      <c s="302">
        <v>14</v>
      </c>
      <c s="1206">
        <v>2196.4285</v>
      </c>
      <c s="1206"/>
      <c s="38">
        <f>+H42*I42</f>
        <v>30749.999</v>
      </c>
      <c r="M42" s="241"/>
    </row>
    <row r="43" spans="2:13" s="1" customFormat="1" ht="15.75">
      <c r="B43" s="302">
        <v>37</v>
      </c>
      <c s="35" t="s">
        <v>238</v>
      </c>
      <c s="290"/>
      <c s="290"/>
      <c s="290"/>
      <c s="290"/>
      <c s="302">
        <v>40</v>
      </c>
      <c s="1206">
        <v>3862.5</v>
      </c>
      <c s="1206"/>
      <c s="38">
        <f>+H43*I43</f>
        <v>154500</v>
      </c>
      <c r="M43" s="241"/>
    </row>
    <row r="44" spans="2:14" s="177" customFormat="1" ht="35.25" customHeight="1" thickBot="1">
      <c r="B44" s="82" t="s">
        <v>607</v>
      </c>
      <c s="35"/>
      <c s="1210"/>
      <c s="1211"/>
      <c s="1211"/>
      <c s="1211"/>
      <c s="1210"/>
      <c s="1212"/>
      <c s="1210"/>
      <c s="303">
        <f>SUM(K40:K43)</f>
        <v>237249.99900000001</v>
      </c>
      <c r="N44" s="1213"/>
    </row>
    <row r="45" spans="4:13" s="574" customFormat="1" ht="23.25" customHeight="1" thickTop="1">
      <c r="D45" s="1214"/>
      <c r="I45" s="1215"/>
      <c s="1216"/>
      <c s="183"/>
      <c r="M45" s="1217"/>
    </row>
    <row r="46" spans="2:11" ht="27" customHeight="1" thickBot="1">
      <c r="B46" s="82" t="s">
        <v>427</v>
      </c>
      <c s="5"/>
      <c s="54"/>
      <c s="54"/>
      <c s="54"/>
      <c s="54"/>
      <c s="54"/>
      <c s="54"/>
      <c s="54"/>
      <c s="1218">
        <f>+K38+K44</f>
        <v>896549.99799999991</v>
      </c>
    </row>
    <row r="47" spans="2:11" ht="16.5" thickTop="1">
      <c r="B47" s="82"/>
      <c s="5"/>
      <c s="54"/>
      <c s="54"/>
      <c s="54"/>
      <c s="54"/>
      <c s="54"/>
      <c s="54"/>
      <c s="54"/>
      <c s="54"/>
    </row>
    <row r="48" spans="2:11" ht="15.75">
      <c r="B48" s="82"/>
      <c s="5"/>
      <c s="54"/>
      <c s="54"/>
      <c s="54"/>
      <c s="54"/>
      <c s="54"/>
      <c s="54"/>
      <c s="54"/>
      <c s="54"/>
    </row>
    <row r="49" spans="2:7" ht="15.75">
      <c r="B49" s="5"/>
      <c s="1191"/>
      <c s="1191"/>
      <c s="1191"/>
      <c s="86"/>
      <c s="86"/>
    </row>
    <row r="50" spans="3:11" ht="15.75">
      <c r="C50" s="1191" t="s">
        <v>411</v>
      </c>
      <c s="36"/>
      <c s="36"/>
      <c s="87"/>
      <c s="87"/>
      <c s="1465" t="s">
        <v>457</v>
      </c>
      <c s="1465"/>
      <c s="1465"/>
      <c s="1465"/>
    </row>
    <row r="51" spans="3:11" ht="15.75">
      <c r="C51" s="36" t="s">
        <v>111</v>
      </c>
      <c s="36"/>
      <c s="36"/>
      <c s="87"/>
      <c s="87"/>
      <c r="I51" s="36" t="s">
        <v>56</v>
      </c>
      <c s="36"/>
      <c s="36"/>
    </row>
    <row r="52" spans="5:11" ht="15.75">
      <c r="E52" s="36"/>
      <c s="87"/>
      <c s="87"/>
      <c s="1467"/>
      <c s="1467"/>
      <c s="1467"/>
      <c s="1467"/>
    </row>
    <row r="53" spans="2:2" ht="15.75">
      <c r="B53" s="36"/>
    </row>
    <row r="54" spans="2:2" ht="15.75">
      <c r="B54" s="36"/>
    </row>
  </sheetData>
  <mergeCells count="3">
    <mergeCell ref="H52:K52"/>
    <mergeCell ref="H50:K50"/>
    <mergeCell ref="B6:G6"/>
  </mergeCells>
  <printOptions horizontalCentered="1"/>
  <pageMargins left="0.196850393700787" right="0" top="2.16535433070866" bottom="0.590551181102362" header="0" footer="0"/>
  <pageSetup orientation="portrait" paperSize="1" scale="65" r:id="rId1"/>
  <headerFooter alignWithMargins="0">
    <oddHeader xml:space="preserve">&amp;C&amp;"Arial,Negrita"&amp;16
&amp;22MINISTERIO DE INTERIOR Y POLICIA 
DIRECCION FINANCIERA&amp;16 
DEPARTAMENTO DE TESORERIA 
LEY No.36 Y RESOL. 02-05
REPORTE DE CAJA MIP 
&amp;"Arial,Normal"&amp;10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9">
    <tabColor indexed="8"/>
  </sheetPr>
  <dimension ref="A1:G22"/>
  <sheetViews>
    <sheetView workbookViewId="0" topLeftCell="A1">
      <selection pane="topLeft" activeCell="D28" sqref="D28"/>
    </sheetView>
  </sheetViews>
  <sheetFormatPr defaultRowHeight="12.75"/>
  <cols>
    <col min="1" max="1" width="60.7142857142857" customWidth="1"/>
    <col min="2" max="2" width="21.7142857142857" bestFit="1" customWidth="1"/>
    <col min="3" max="3" width="15.4285714285714" customWidth="1"/>
    <col min="4" max="4" width="22" bestFit="1" customWidth="1"/>
    <col min="5" max="5" width="13.8571428571429" bestFit="1" customWidth="1"/>
  </cols>
  <sheetData>
    <row r="1" spans="1:4" ht="18" customHeight="1">
      <c r="A1" s="1464" t="s">
        <v>107</v>
      </c>
      <c s="1464"/>
      <c s="1464"/>
      <c s="1464"/>
    </row>
    <row r="2" spans="1:4" ht="18" customHeight="1">
      <c r="A2" s="1464" t="s">
        <v>116</v>
      </c>
      <c s="1464"/>
      <c s="1464"/>
      <c s="1464"/>
    </row>
    <row r="3" spans="1:4" ht="18" customHeight="1">
      <c r="A3" s="151" t="s">
        <v>115</v>
      </c>
      <c r="C3" s="151"/>
      <c s="151"/>
    </row>
    <row r="4" spans="1:4" ht="18" customHeight="1">
      <c r="A4" s="1464" t="str">
        <f>'REGISTRO TRAMITES DEL DIA '!A2</f>
        <v>Del 01/11/2024 al 30/11/2024</v>
      </c>
      <c s="1464"/>
      <c s="1464"/>
      <c s="1464"/>
    </row>
    <row r="5" spans="1:4" ht="31.5" customHeight="1" thickBot="1">
      <c r="A5" s="1455"/>
      <c s="1455"/>
      <c s="1455"/>
      <c s="1455"/>
    </row>
    <row r="6" spans="1:4" ht="16.5" thickBot="1">
      <c r="A6" s="6" t="s">
        <v>28</v>
      </c>
      <c s="7" t="s">
        <v>29</v>
      </c>
      <c s="8"/>
      <c s="9" t="s">
        <v>30</v>
      </c>
    </row>
    <row r="7" spans="1:4" ht="15.75">
      <c r="A7" s="10" t="s">
        <v>12</v>
      </c>
      <c s="13">
        <f>'INGRESOS ACUMULADOS '!I118</f>
        <v>408060.57000000274</v>
      </c>
      <c s="14"/>
      <c s="15">
        <f>B7</f>
        <v>408060.57000000274</v>
      </c>
    </row>
    <row r="8" spans="1:4" ht="15.75">
      <c r="A8" s="19" t="s">
        <v>13</v>
      </c>
      <c s="20" t="e">
        <f>'INGRESOS ACUMULADOS '!#REF!</f>
        <v>#REF!</v>
      </c>
      <c s="20"/>
      <c s="21" t="e">
        <f>B8</f>
        <v>#REF!</v>
      </c>
    </row>
    <row r="9" spans="1:7" ht="15.75">
      <c r="A9" s="19" t="s">
        <v>32</v>
      </c>
      <c s="20">
        <f>'INGRESOS ACUMULADOS '!J118</f>
        <v>15827683.08</v>
      </c>
      <c s="20"/>
      <c s="21">
        <f>B9</f>
        <v>15827683.08</v>
      </c>
      <c r="G9" s="45"/>
    </row>
    <row r="10" spans="1:7" ht="16.5" thickBot="1">
      <c r="A10" s="16" t="s">
        <v>132</v>
      </c>
      <c s="17">
        <f>'INGRESOS ACUMULADOS '!M118</f>
        <v>7500</v>
      </c>
      <c s="20"/>
      <c s="18">
        <f>B10</f>
        <v>7500</v>
      </c>
      <c r="G10" s="45"/>
    </row>
    <row r="11" spans="1:7" ht="16.5" thickBot="1">
      <c r="A11" s="1458" t="s">
        <v>117</v>
      </c>
      <c s="1458"/>
      <c s="1459"/>
      <c s="22" t="e">
        <f>SUM(D7:D10)</f>
        <v>#REF!</v>
      </c>
      <c s="152"/>
      <c r="G11" s="46"/>
    </row>
    <row r="12" spans="1:4" ht="15.75">
      <c r="A12" s="23"/>
      <c s="23"/>
      <c s="23"/>
      <c s="23"/>
    </row>
    <row r="13" spans="1:4" ht="15.75">
      <c r="A13" s="23"/>
      <c s="23"/>
      <c s="23"/>
      <c s="23"/>
    </row>
    <row r="14" spans="1:4" ht="15.75">
      <c r="A14" s="1460" t="s">
        <v>33</v>
      </c>
      <c s="1461"/>
      <c s="11"/>
      <c s="24"/>
    </row>
    <row r="15" spans="1:4" ht="15.75">
      <c r="A15" s="1462" t="s">
        <v>62</v>
      </c>
      <c s="1463"/>
      <c s="12"/>
      <c s="25"/>
    </row>
    <row r="16" spans="1:4" ht="15.75">
      <c r="A16" s="1456" t="s">
        <v>162</v>
      </c>
      <c s="1457"/>
      <c s="26" t="e">
        <f>'INGRESOS ACUMULADOS '!#REF!</f>
        <v>#REF!</v>
      </c>
      <c s="25"/>
    </row>
    <row r="17" spans="1:4" ht="15.75">
      <c r="A17" s="1456" t="s">
        <v>163</v>
      </c>
      <c s="1457"/>
      <c s="26">
        <f>'INGRESOS ACUMULADOS '!S118</f>
        <v>0</v>
      </c>
      <c s="27" t="e">
        <f>C16+C17</f>
        <v>#REF!</v>
      </c>
    </row>
    <row r="18" spans="1:4" ht="15.75">
      <c r="A18" s="1456" t="s">
        <v>34</v>
      </c>
      <c s="1457"/>
      <c s="28"/>
      <c s="26" t="e">
        <f>D11</f>
        <v>#REF!</v>
      </c>
    </row>
    <row r="19" spans="1:4" ht="15.75">
      <c r="A19" s="1462" t="s">
        <v>108</v>
      </c>
      <c s="1463"/>
      <c s="28"/>
      <c s="29" t="e">
        <f>D17+D18</f>
        <v>#REF!</v>
      </c>
    </row>
    <row r="20" spans="1:4" ht="149.25" customHeight="1">
      <c r="A20" s="1454"/>
      <c s="1454"/>
      <c s="1454"/>
      <c s="1454"/>
    </row>
    <row r="21" spans="1:4" ht="15.75">
      <c r="A21" s="31" t="s">
        <v>110</v>
      </c>
      <c s="1465" t="s">
        <v>109</v>
      </c>
      <c s="1465"/>
      <c s="1465"/>
    </row>
    <row r="22" spans="1:4" ht="15.75">
      <c r="A22" s="30" t="s">
        <v>111</v>
      </c>
      <c s="1454" t="s">
        <v>8</v>
      </c>
      <c s="1454"/>
      <c s="1454"/>
    </row>
  </sheetData>
  <mergeCells count="14">
    <mergeCell ref="A15:B15"/>
    <mergeCell ref="A16:B16"/>
    <mergeCell ref="B21:D21"/>
    <mergeCell ref="B22:D22"/>
    <mergeCell ref="A17:B17"/>
    <mergeCell ref="A18:B18"/>
    <mergeCell ref="A19:B19"/>
    <mergeCell ref="A20:D20"/>
    <mergeCell ref="A1:D1"/>
    <mergeCell ref="A2:D2"/>
    <mergeCell ref="A4:D4"/>
    <mergeCell ref="A5:D5"/>
    <mergeCell ref="A11:C11"/>
    <mergeCell ref="A14:B14"/>
  </mergeCells>
  <pageMargins left="0.28" right="0.39" top="1" bottom="1" header="0" footer="0"/>
  <pageSetup orientation="portrait" paperSize="9" scale="75" r:id="rId1"/>
  <headerFooter alignWithMargins="0">
    <oddHeader xml:space="preserve">&amp;C&amp;"Arial Rounded MT Bold,Negrita Cursiva"&amp;18MINISTERIO DE INTERIOR Y POLICIA
DIRECCION  ADMINISTRATIVA Y FINANCIERA
DEPARTAMENTO DE TESORERIA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10">
    <tabColor indexed="24"/>
    <pageSetUpPr fitToPage="1"/>
  </sheetPr>
  <dimension ref="A1:D30"/>
  <sheetViews>
    <sheetView workbookViewId="0" topLeftCell="A10">
      <selection pane="topLeft" activeCell="B10" sqref="B10:B25"/>
    </sheetView>
  </sheetViews>
  <sheetFormatPr defaultRowHeight="12.75"/>
  <cols>
    <col min="1" max="1" width="70.1428571428571" bestFit="1" customWidth="1"/>
    <col min="2" max="2" width="10.7142857142857" bestFit="1" customWidth="1"/>
    <col min="3" max="3" width="12.4285714285714" bestFit="1" customWidth="1"/>
    <col min="4" max="4" width="21.2857142857143" customWidth="1"/>
  </cols>
  <sheetData>
    <row r="1" spans="1:4" ht="48" customHeight="1">
      <c r="A1" s="1433"/>
      <c s="1433"/>
      <c s="1433"/>
      <c s="1433"/>
    </row>
    <row r="2" spans="1:4" ht="19.5">
      <c r="A2" s="1508" t="s">
        <v>2</v>
      </c>
      <c s="1508"/>
      <c s="1508"/>
      <c s="1508"/>
    </row>
    <row r="3" spans="1:4" ht="45">
      <c r="A3" s="1509" t="s">
        <v>58</v>
      </c>
      <c s="1509"/>
      <c s="1509"/>
      <c s="1509"/>
    </row>
    <row r="4" spans="1:4" ht="33">
      <c r="A4" s="1355" t="s">
        <v>59</v>
      </c>
      <c s="1355"/>
      <c s="1355"/>
      <c s="1355"/>
    </row>
    <row r="5" spans="1:4" ht="18" customHeight="1">
      <c r="A5" s="1509" t="s">
        <v>60</v>
      </c>
      <c s="1509"/>
      <c s="1509"/>
      <c s="1509"/>
    </row>
    <row r="6" spans="1:4" ht="18" customHeight="1">
      <c r="A6" s="1354" t="s">
        <v>84</v>
      </c>
      <c s="1354"/>
      <c s="1354"/>
      <c s="1354"/>
    </row>
    <row r="7" spans="1:4" ht="18" customHeight="1">
      <c r="A7" s="1354" t="str">
        <f>'REGISTRO TRAMITES DEL DIA '!A1</f>
        <v>Del 01/11/2024 al 30/11/2024</v>
      </c>
      <c s="1354"/>
      <c s="1354"/>
      <c s="1354"/>
    </row>
    <row r="8" spans="1:4" ht="34.5" customHeight="1" thickBot="1">
      <c r="A8" s="1455"/>
      <c s="1455"/>
      <c s="1455"/>
      <c s="1455"/>
    </row>
    <row r="9" spans="1:4" ht="24.95" customHeight="1" thickBot="1">
      <c r="A9" s="88" t="s">
        <v>85</v>
      </c>
      <c s="89" t="s">
        <v>86</v>
      </c>
      <c s="90" t="s">
        <v>87</v>
      </c>
      <c s="91" t="s">
        <v>88</v>
      </c>
    </row>
    <row r="10" spans="1:4" ht="24.95" customHeight="1">
      <c r="A10" s="92" t="s">
        <v>0</v>
      </c>
      <c s="93">
        <f>'REGISTRO TRAMITES DEL DIA '!B19</f>
        <v>21</v>
      </c>
      <c s="94">
        <v>6240</v>
      </c>
      <c s="95" t="e">
        <f>#N/A</f>
        <v>#N/A</v>
      </c>
    </row>
    <row r="11" spans="1:4" ht="24.95" customHeight="1">
      <c r="A11" s="96" t="s">
        <v>89</v>
      </c>
      <c s="97">
        <f>'REGISTRO TRAMITES DEL DIA '!C19</f>
        <v>97</v>
      </c>
      <c s="98">
        <v>11240</v>
      </c>
      <c s="99" t="e">
        <f>#N/A</f>
        <v>#N/A</v>
      </c>
    </row>
    <row r="12" spans="1:4" ht="24.95" customHeight="1">
      <c r="A12" s="96" t="s">
        <v>90</v>
      </c>
      <c s="97">
        <f>'REGISTRO TRAMITES DEL DIA '!D19</f>
        <v>4830</v>
      </c>
      <c s="98">
        <v>4940</v>
      </c>
      <c s="99" t="e">
        <f>#N/A</f>
        <v>#N/A</v>
      </c>
    </row>
    <row r="13" spans="1:4" ht="24.95" customHeight="1">
      <c r="A13" s="96" t="s">
        <v>91</v>
      </c>
      <c s="97">
        <f>'REGISTRO TRAMITES DEL DIA '!E19</f>
        <v>0</v>
      </c>
      <c s="98">
        <v>4615</v>
      </c>
      <c s="99" t="e">
        <f>#N/A</f>
        <v>#N/A</v>
      </c>
    </row>
    <row r="14" spans="1:4" ht="24.95" customHeight="1">
      <c r="A14" s="96" t="s">
        <v>92</v>
      </c>
      <c s="97">
        <f>'REGISTRO TRAMITES DEL DIA '!F19</f>
        <v>0</v>
      </c>
      <c s="98">
        <v>2040</v>
      </c>
      <c s="99" t="e">
        <f>#N/A</f>
        <v>#N/A</v>
      </c>
    </row>
    <row r="15" spans="1:4" ht="24.95" customHeight="1">
      <c r="A15" s="96" t="s">
        <v>93</v>
      </c>
      <c s="97">
        <f>'REGISTRO TRAMITES DEL DIA '!G19</f>
        <v>1</v>
      </c>
      <c s="98">
        <v>2840</v>
      </c>
      <c s="99" t="e">
        <f>#N/A</f>
        <v>#N/A</v>
      </c>
    </row>
    <row r="16" spans="1:4" ht="24.95" customHeight="1">
      <c r="A16" s="96" t="s">
        <v>1</v>
      </c>
      <c s="97">
        <f>'REGISTRO TRAMITES DEL DIA '!H19</f>
        <v>19</v>
      </c>
      <c s="98">
        <v>500</v>
      </c>
      <c s="99" t="e">
        <f>#N/A</f>
        <v>#N/A</v>
      </c>
    </row>
    <row r="17" spans="1:4" ht="24.95" customHeight="1">
      <c r="A17" s="96" t="s">
        <v>94</v>
      </c>
      <c s="97">
        <f>'REGISTRO TRAMITES DEL DIA '!I19</f>
        <v>66</v>
      </c>
      <c s="98">
        <v>700</v>
      </c>
      <c s="99" t="e">
        <f>#N/A</f>
        <v>#N/A</v>
      </c>
    </row>
    <row r="18" spans="1:4" ht="24.95" customHeight="1">
      <c r="A18" s="96" t="s">
        <v>148</v>
      </c>
      <c s="97">
        <f>'REGISTRO TRAMITES DEL DIA '!J19</f>
        <v>4338</v>
      </c>
      <c s="98">
        <v>700</v>
      </c>
      <c s="99" t="e">
        <f>#N/A</f>
        <v>#N/A</v>
      </c>
    </row>
    <row r="19" spans="1:4" ht="24.95" customHeight="1">
      <c r="A19" s="203" t="s">
        <v>149</v>
      </c>
      <c s="97">
        <f>'REGISTRO TRAMITES DEL DIA '!K16</f>
        <v>2</v>
      </c>
      <c s="204">
        <v>4615</v>
      </c>
      <c s="99" t="e">
        <f>#N/A</f>
        <v>#N/A</v>
      </c>
    </row>
    <row r="20" spans="1:4" ht="24.95" customHeight="1">
      <c r="A20" s="203" t="s">
        <v>140</v>
      </c>
      <c s="97">
        <f>'REGISTRO TRAMITES DEL DIA '!L16</f>
        <v>32</v>
      </c>
      <c s="204">
        <v>4615</v>
      </c>
      <c s="99" t="e">
        <f>#N/A</f>
        <v>#N/A</v>
      </c>
    </row>
    <row r="21" spans="1:4" ht="24.95" customHeight="1">
      <c r="A21" s="203" t="s">
        <v>141</v>
      </c>
      <c s="97">
        <f>'REGISTRO TRAMITES DEL DIA '!M16</f>
        <v>13</v>
      </c>
      <c s="204">
        <v>4615</v>
      </c>
      <c s="99" t="e">
        <f>#N/A</f>
        <v>#N/A</v>
      </c>
    </row>
    <row r="22" spans="1:4" ht="24.95" customHeight="1">
      <c r="A22" s="203" t="s">
        <v>142</v>
      </c>
      <c s="97">
        <f>'REGISTRO TRAMITES DEL DIA '!N16</f>
        <v>69</v>
      </c>
      <c s="204">
        <v>700</v>
      </c>
      <c s="99" t="e">
        <f>#N/A</f>
        <v>#N/A</v>
      </c>
    </row>
    <row r="23" spans="1:4" ht="24.95" customHeight="1">
      <c r="A23" s="203" t="s">
        <v>143</v>
      </c>
      <c s="97">
        <f>'REGISTRO TRAMITES DEL DIA '!O16</f>
        <v>0</v>
      </c>
      <c s="204">
        <v>6240</v>
      </c>
      <c s="99" t="e">
        <f>#N/A</f>
        <v>#N/A</v>
      </c>
    </row>
    <row r="24" spans="1:4" ht="24.95" customHeight="1" thickBot="1">
      <c r="A24" s="100" t="s">
        <v>95</v>
      </c>
      <c s="101">
        <f>B14</f>
        <v>0</v>
      </c>
      <c s="102">
        <v>800</v>
      </c>
      <c s="99" t="e">
        <f>#N/A</f>
        <v>#N/A</v>
      </c>
    </row>
    <row r="25" spans="1:4" ht="24.95" customHeight="1" thickBot="1">
      <c r="A25" s="103" t="s">
        <v>96</v>
      </c>
      <c s="104">
        <f>'REGISTRO TRAMITES DEL DIA '!U19</f>
        <v>0</v>
      </c>
      <c s="105">
        <v>171</v>
      </c>
      <c s="106">
        <f>B25*C25</f>
        <v>0</v>
      </c>
    </row>
    <row r="26" spans="1:4" ht="24.95" customHeight="1">
      <c r="A26" s="12" t="s">
        <v>97</v>
      </c>
      <c s="107">
        <f>B10+B11+B12+B13+B14+B15+B16+B17+B18</f>
        <v>9372</v>
      </c>
      <c s="108"/>
      <c s="109"/>
    </row>
    <row r="27" spans="1:4" ht="24.95" customHeight="1" thickBot="1">
      <c r="A27" s="1462" t="s">
        <v>98</v>
      </c>
      <c s="1462"/>
      <c s="1510"/>
      <c s="110" t="e">
        <f>SUM(D10:D26)</f>
        <v>#N/A</v>
      </c>
    </row>
    <row r="28" spans="1:4" ht="112.5" customHeight="1">
      <c r="A28" s="1454"/>
      <c s="1454"/>
      <c s="1454"/>
      <c s="1454"/>
    </row>
    <row r="29" spans="1:4" ht="15.75">
      <c r="A29" s="1465" t="s">
        <v>112</v>
      </c>
      <c s="1464"/>
      <c s="1464"/>
      <c s="1464"/>
    </row>
    <row r="30" spans="1:4" ht="15.75">
      <c r="A30" s="1454" t="s">
        <v>113</v>
      </c>
      <c s="1454"/>
      <c s="1454"/>
      <c s="1454"/>
    </row>
  </sheetData>
  <mergeCells count="12">
    <mergeCell ref="A7:D7"/>
    <mergeCell ref="A8:D8"/>
    <mergeCell ref="A27:C27"/>
    <mergeCell ref="A28:D28"/>
    <mergeCell ref="A29:D29"/>
    <mergeCell ref="A30:D30"/>
    <mergeCell ref="A1:D1"/>
    <mergeCell ref="A2:D2"/>
    <mergeCell ref="A3:D3"/>
    <mergeCell ref="A4:D4"/>
    <mergeCell ref="A5:D5"/>
    <mergeCell ref="A6:D6"/>
  </mergeCells>
  <pageMargins left="0.75" right="0.75" top="0.2" bottom="1" header="0" footer="0"/>
  <pageSetup orientation="portrait" paperSize="9" scale="76" r:id="rId2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</sheetPr>
  <dimension ref="A2:M43"/>
  <sheetViews>
    <sheetView workbookViewId="0" topLeftCell="A13">
      <selection pane="topLeft" activeCell="K14" sqref="K14:K15"/>
    </sheetView>
  </sheetViews>
  <sheetFormatPr defaultRowHeight="12.75"/>
  <cols>
    <col min="1" max="2" width="0.428571428571429" style="793" customWidth="1"/>
    <col min="3" max="3" width="56.1428571428571" style="793" customWidth="1"/>
    <col min="4" max="4" width="20.2857142857143" style="793" customWidth="1"/>
    <col min="5" max="5" width="0.285714285714286" style="793" customWidth="1"/>
    <col min="6" max="6" width="22.1428571428571" style="793" customWidth="1"/>
    <col min="7" max="7" width="36.1428571428571" style="793" customWidth="1"/>
    <col min="8" max="16384" width="11.4285714285714" style="793"/>
  </cols>
  <sheetData>
    <row r="1" ht="53.25" customHeight="1"/>
    <row r="2" spans="3:7" ht="23.25">
      <c r="C2" s="1514" t="s">
        <v>332</v>
      </c>
      <c s="1514"/>
      <c s="1514"/>
      <c s="1514"/>
      <c s="1514"/>
    </row>
    <row r="3" spans="3:7" ht="20.25">
      <c r="C3" s="1515" t="s">
        <v>378</v>
      </c>
      <c s="1515"/>
      <c s="1515"/>
      <c s="1515"/>
      <c s="1515"/>
    </row>
    <row r="4" spans="3:7" ht="20.25">
      <c r="C4" s="1515" t="s">
        <v>333</v>
      </c>
      <c s="1515"/>
      <c s="1515"/>
      <c s="1515"/>
      <c s="1515"/>
    </row>
    <row r="5" spans="3:7" ht="18">
      <c r="C5" s="1334" t="s">
        <v>379</v>
      </c>
      <c s="1334"/>
      <c s="1334"/>
      <c s="1334"/>
      <c s="1334"/>
    </row>
    <row r="6" spans="3:7" ht="18">
      <c r="C6" s="1334" t="str">
        <f>'REGISTRO TRAMITES DEL DIA '!A7</f>
        <v>Del 30 de Noviembre 2024</v>
      </c>
      <c s="1334"/>
      <c s="1334"/>
      <c s="1334"/>
      <c s="1334"/>
    </row>
    <row r="7" spans="3:7" ht="18">
      <c r="C7" s="1334" t="s">
        <v>29</v>
      </c>
      <c s="1334"/>
      <c s="1334"/>
      <c s="1334"/>
      <c s="1334"/>
    </row>
    <row r="8" spans="3:7" ht="69.75" customHeight="1">
      <c r="C8" s="836"/>
      <c s="836"/>
      <c s="836"/>
      <c s="836"/>
      <c s="836"/>
    </row>
    <row r="10" spans="3:7" ht="15.75">
      <c r="C10" s="837" t="s">
        <v>380</v>
      </c>
      <c s="838"/>
      <c s="838"/>
      <c s="839">
        <f>'REGISTRO TRAMITES DEL DIA '!Q54</f>
        <v>12132410</v>
      </c>
      <c s="838"/>
    </row>
    <row r="11" spans="3:7" ht="15">
      <c r="C11" s="787"/>
      <c s="838"/>
      <c s="838"/>
      <c s="838"/>
      <c s="838"/>
    </row>
    <row r="12" spans="3:7" ht="15.75">
      <c r="C12" s="837" t="s">
        <v>336</v>
      </c>
      <c s="838"/>
      <c s="838"/>
      <c s="838"/>
      <c s="838"/>
    </row>
    <row r="13" spans="3:7" ht="21" customHeight="1">
      <c r="C13" s="787" t="s">
        <v>381</v>
      </c>
      <c s="838"/>
      <c s="838"/>
      <c s="840">
        <f>'REGISTRO TRAMITES DEL DIA '!R54</f>
        <v>2445000</v>
      </c>
      <c s="838"/>
    </row>
    <row r="14" spans="3:13" ht="15">
      <c r="C14" s="787"/>
      <c s="838"/>
      <c s="838"/>
      <c s="838"/>
      <c s="838"/>
      <c r="M14" s="793" t="s">
        <v>648</v>
      </c>
    </row>
    <row r="15" spans="1:7" ht="15.75">
      <c r="A15" s="791" t="s">
        <v>407</v>
      </c>
      <c s="791"/>
      <c s="791" t="s">
        <v>382</v>
      </c>
      <c s="838"/>
      <c s="838"/>
      <c s="838"/>
      <c s="838"/>
    </row>
    <row r="16" spans="3:7" ht="24" customHeight="1">
      <c r="C16" s="787" t="s">
        <v>387</v>
      </c>
      <c s="838">
        <f>'REGISTRO TRAMITES DEL DIA '!B30*6345</f>
        <v>0</v>
      </c>
      <c s="838"/>
      <c s="838"/>
      <c s="838"/>
    </row>
    <row r="17" spans="3:7" ht="24" customHeight="1">
      <c r="C17" s="787" t="s">
        <v>383</v>
      </c>
      <c s="838">
        <f>'REGISTRO TRAMITES DEL DIA '!C30*11345</f>
        <v>2382450</v>
      </c>
      <c s="838"/>
      <c s="838"/>
      <c s="838"/>
    </row>
    <row r="18" spans="3:7" ht="24" customHeight="1">
      <c r="C18" s="787" t="s">
        <v>384</v>
      </c>
      <c s="838">
        <f>'REGISTRO TRAMITES DEL DIA '!D30*5045</f>
        <v>6220485</v>
      </c>
      <c s="838"/>
      <c s="838"/>
      <c s="838"/>
    </row>
    <row r="19" spans="3:7" ht="24" customHeight="1">
      <c r="C19" s="787" t="s">
        <v>388</v>
      </c>
      <c s="838">
        <f>'REGISTRO TRAMITES DEL DIA '!E30*4720</f>
        <v>0</v>
      </c>
      <c s="838"/>
      <c s="838"/>
      <c s="838"/>
    </row>
    <row r="20" spans="3:7" ht="24" customHeight="1">
      <c r="C20" s="787" t="s">
        <v>389</v>
      </c>
      <c s="838">
        <f>'REGISTRO TRAMITES DEL DIA '!F30*2945</f>
        <v>0</v>
      </c>
      <c s="838"/>
      <c s="838"/>
      <c s="838"/>
    </row>
    <row r="21" spans="3:7" ht="24" customHeight="1">
      <c r="C21" s="787" t="s">
        <v>93</v>
      </c>
      <c s="838">
        <f>'REGISTRO TRAMITES DEL DIA '!G30*2945</f>
        <v>0</v>
      </c>
      <c s="838"/>
      <c s="838"/>
      <c s="838"/>
    </row>
    <row r="22" spans="3:7" ht="24" customHeight="1">
      <c r="C22" s="787" t="s">
        <v>1</v>
      </c>
      <c s="838">
        <f>'REGISTRO TRAMITES DEL DIA '!H30*605</f>
        <v>2420</v>
      </c>
      <c s="838"/>
      <c s="838"/>
      <c s="838"/>
    </row>
    <row r="23" spans="3:7" ht="24" customHeight="1">
      <c r="C23" s="787" t="s">
        <v>3</v>
      </c>
      <c s="838">
        <f>'REGISTRO TRAMITES DEL DIA '!I30*805</f>
        <v>13685</v>
      </c>
      <c s="838"/>
      <c s="838"/>
      <c s="838"/>
    </row>
    <row r="24" spans="3:7" ht="24" customHeight="1">
      <c r="C24" s="787" t="s">
        <v>385</v>
      </c>
      <c s="838">
        <f>'REGISTRO TRAMITES DEL DIA '!J30*805</f>
        <v>759115</v>
      </c>
      <c s="838"/>
      <c s="787"/>
      <c s="787"/>
    </row>
    <row r="25" spans="3:7" ht="24" customHeight="1">
      <c r="C25" s="787" t="s">
        <v>390</v>
      </c>
      <c s="838">
        <f>'REGISTRO TRAMITES DEL DIA '!K30*4720</f>
        <v>4720</v>
      </c>
      <c s="838"/>
      <c s="787"/>
      <c s="787"/>
    </row>
    <row r="26" spans="3:7" ht="24" customHeight="1">
      <c r="C26" s="787" t="s">
        <v>140</v>
      </c>
      <c s="838">
        <f>'REGISTRO TRAMITES DEL DIA '!L30*4720</f>
        <v>250160</v>
      </c>
      <c s="838"/>
      <c s="787"/>
      <c s="787"/>
    </row>
    <row r="27" spans="3:7" ht="24" customHeight="1">
      <c r="C27" s="787" t="s">
        <v>141</v>
      </c>
      <c s="838">
        <f>'REGISTRO TRAMITES DEL DIA '!M30*4720</f>
        <v>0</v>
      </c>
      <c s="838"/>
      <c s="787"/>
      <c s="787"/>
    </row>
    <row r="28" spans="3:7" ht="24" customHeight="1">
      <c r="C28" s="787" t="s">
        <v>386</v>
      </c>
      <c s="838">
        <f>+'REGISTRO TRAMITES DEL DIA '!N30*805</f>
        <v>44275</v>
      </c>
      <c s="838"/>
      <c s="787"/>
      <c s="787"/>
    </row>
    <row r="29" spans="3:7" ht="24" customHeight="1">
      <c r="C29" s="787" t="s">
        <v>143</v>
      </c>
      <c s="838">
        <f>'REGISTRO TRAMITES DEL DIA '!L33*4720</f>
        <v>0</v>
      </c>
      <c s="838"/>
      <c s="787"/>
      <c s="787"/>
    </row>
    <row r="30" spans="3:7" ht="24" customHeight="1">
      <c r="C30" s="787" t="s">
        <v>433</v>
      </c>
      <c s="841">
        <f>'REGISTRO TRAMITES DEL DIA '!L83</f>
        <v>10100</v>
      </c>
      <c s="842"/>
      <c s="843"/>
      <c s="787"/>
    </row>
    <row r="31" spans="3:7" ht="27" customHeight="1" thickBot="1">
      <c r="C31" s="844" t="s">
        <v>246</v>
      </c>
      <c s="845">
        <f>SUM(D16:D30)</f>
        <v>9687410</v>
      </c>
      <c s="846"/>
      <c s="845">
        <f>F10-F13</f>
        <v>9687410</v>
      </c>
      <c s="787"/>
    </row>
    <row r="32" spans="3:7" ht="15.75" thickTop="1">
      <c r="C32" s="787"/>
      <c s="787"/>
      <c s="847"/>
      <c s="787"/>
      <c s="787"/>
    </row>
    <row r="33" spans="3:7" ht="15">
      <c r="C33" s="787"/>
      <c s="787"/>
      <c s="787"/>
      <c s="787"/>
      <c s="787"/>
    </row>
    <row r="34" spans="1:7" ht="15">
      <c r="A34" s="793" t="s">
        <v>609</v>
      </c>
      <c r="C34" s="787"/>
      <c s="787"/>
      <c s="787"/>
      <c s="848">
        <f>D31-F31</f>
        <v>0</v>
      </c>
      <c s="787"/>
    </row>
    <row r="35" spans="3:7" ht="15">
      <c r="C35" s="787"/>
      <c s="787"/>
      <c s="787"/>
      <c s="792"/>
      <c s="787"/>
    </row>
    <row r="36" spans="10:10" ht="12.75">
      <c r="J36" s="793" t="s">
        <v>240</v>
      </c>
    </row>
    <row r="41" spans="3:8" ht="15.75">
      <c r="C41" s="849" t="s">
        <v>413</v>
      </c>
      <c s="794"/>
      <c s="794"/>
      <c s="1511" t="s">
        <v>457</v>
      </c>
      <c s="1511"/>
      <c s="1511"/>
    </row>
    <row r="42" spans="3:8" ht="15">
      <c r="C42" s="850" t="s">
        <v>330</v>
      </c>
      <c s="851"/>
      <c s="851"/>
      <c s="1512" t="s">
        <v>6</v>
      </c>
      <c s="1512"/>
      <c s="1512"/>
    </row>
    <row r="43" spans="3:8" ht="15">
      <c r="C43" s="850"/>
      <c s="794"/>
      <c s="794"/>
      <c s="1513" t="s">
        <v>63</v>
      </c>
      <c s="1513"/>
      <c s="1513"/>
    </row>
  </sheetData>
  <mergeCells count="9">
    <mergeCell ref="F41:H41"/>
    <mergeCell ref="F42:H42"/>
    <mergeCell ref="F43:H43"/>
    <mergeCell ref="C2:G2"/>
    <mergeCell ref="C3:G3"/>
    <mergeCell ref="C4:G4"/>
    <mergeCell ref="C5:G5"/>
    <mergeCell ref="C6:G6"/>
    <mergeCell ref="C7:G7"/>
  </mergeCells>
  <pageMargins left="0.708661417322835" right="0" top="0.748031496062992" bottom="0" header="0.31496062992126" footer="0.31496062992126"/>
  <pageSetup orientation="portrait" paperSize="1" scale="65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pageSetUpPr fitToPage="1"/>
  </sheetPr>
  <dimension ref="A1:H39"/>
  <sheetViews>
    <sheetView workbookViewId="0" topLeftCell="A1">
      <selection pane="topLeft" activeCell="F13" sqref="F13"/>
    </sheetView>
  </sheetViews>
  <sheetFormatPr defaultRowHeight="12.75"/>
  <cols>
    <col min="1" max="2" width="11.4285714285714" style="793"/>
    <col min="3" max="3" width="31.2857142857143" style="793" customWidth="1"/>
    <col min="4" max="4" width="58.4285714285714" style="793" customWidth="1"/>
    <col min="5" max="5" width="22.8571428571429" style="793" customWidth="1"/>
    <col min="6" max="6" width="36.7142857142857" style="793" customWidth="1"/>
    <col min="7" max="7" width="27.4285714285714" style="793" bestFit="1" customWidth="1"/>
    <col min="8" max="8" width="26.2857142857143" style="793" customWidth="1"/>
    <col min="9" max="16384" width="11.4285714285714" style="793"/>
  </cols>
  <sheetData>
    <row r="1" spans="1:8" ht="38.25">
      <c r="A1" s="1332" t="s">
        <v>332</v>
      </c>
      <c s="1332"/>
      <c s="1332"/>
      <c s="1332"/>
      <c s="1332"/>
      <c s="1332"/>
      <c s="1332"/>
      <c s="1332"/>
    </row>
    <row r="2" spans="1:8" ht="20.25">
      <c r="A2" s="1333" t="s">
        <v>333</v>
      </c>
      <c s="1333"/>
      <c s="1333"/>
      <c s="1333"/>
      <c s="1333"/>
      <c s="1333"/>
      <c s="1333"/>
      <c s="1333"/>
    </row>
    <row r="3" spans="1:8" ht="20.25">
      <c r="A3" s="1333" t="s">
        <v>334</v>
      </c>
      <c s="1333"/>
      <c s="1333"/>
      <c s="1333"/>
      <c s="1333"/>
      <c s="1333"/>
      <c s="1333"/>
      <c s="1333"/>
    </row>
    <row r="4" spans="1:8" ht="20.25">
      <c r="A4" s="1333" t="s">
        <v>730</v>
      </c>
      <c s="1333"/>
      <c s="1333"/>
      <c s="1333"/>
      <c s="1333"/>
      <c s="1333"/>
      <c s="1333"/>
      <c s="1333"/>
    </row>
    <row r="5" spans="1:8" ht="18">
      <c r="A5" s="1334" t="s">
        <v>29</v>
      </c>
      <c s="1334"/>
      <c s="1334"/>
      <c s="1334"/>
      <c s="1334"/>
      <c s="1334"/>
      <c s="1334"/>
      <c s="1334"/>
    </row>
    <row r="8" ht="61.5" customHeight="1"/>
    <row r="12" spans="1:8" ht="27.75">
      <c r="A12" s="795" t="s">
        <v>335</v>
      </c>
      <c s="796"/>
      <c s="796"/>
      <c s="797"/>
      <c s="797"/>
      <c s="798">
        <f>+'OAI '!G48+'OAI '!B48*105</f>
        <v>31419615</v>
      </c>
      <c s="799"/>
      <c s="800"/>
    </row>
    <row r="13" spans="1:8" ht="27.75">
      <c r="A13" s="801" t="s">
        <v>336</v>
      </c>
      <c s="796"/>
      <c s="796"/>
      <c s="797"/>
      <c s="797"/>
      <c s="802"/>
      <c s="799"/>
      <c s="800"/>
    </row>
    <row r="14" spans="1:8" ht="27.75">
      <c r="A14" s="795" t="s">
        <v>337</v>
      </c>
      <c s="796"/>
      <c s="796"/>
      <c s="797"/>
      <c s="797"/>
      <c s="803">
        <f>+'OAI '!G48</f>
        <v>30352815</v>
      </c>
      <c s="799"/>
      <c s="800"/>
    </row>
    <row r="15" spans="1:8" ht="27.75">
      <c r="A15" s="795"/>
      <c s="796"/>
      <c s="796"/>
      <c s="797"/>
      <c s="797"/>
      <c s="804"/>
      <c s="799"/>
      <c s="800"/>
    </row>
    <row r="16" spans="1:8" ht="27.75">
      <c r="A16" s="805" t="s">
        <v>338</v>
      </c>
      <c s="796"/>
      <c s="796"/>
      <c s="797"/>
      <c s="797"/>
      <c s="806">
        <f>F12-F14</f>
        <v>1066800</v>
      </c>
      <c s="807"/>
      <c s="808"/>
    </row>
    <row r="17" spans="1:8" ht="27.75">
      <c r="A17" s="805"/>
      <c s="796"/>
      <c s="796"/>
      <c s="797"/>
      <c s="797"/>
      <c s="809"/>
      <c s="799"/>
      <c s="800"/>
    </row>
    <row r="18" spans="1:8" ht="27.75">
      <c r="A18" s="805"/>
      <c s="796"/>
      <c s="796"/>
      <c s="797"/>
      <c s="797"/>
      <c s="809"/>
      <c s="799"/>
      <c s="800"/>
    </row>
    <row r="19" spans="1:8" ht="27.75">
      <c r="A19" s="805"/>
      <c s="796"/>
      <c s="796"/>
      <c s="797"/>
      <c s="797"/>
      <c s="809"/>
      <c s="799"/>
      <c s="800"/>
    </row>
    <row r="20" spans="1:8" ht="27.75">
      <c r="A20" s="810" t="s">
        <v>339</v>
      </c>
      <c s="796"/>
      <c s="796"/>
      <c s="797"/>
      <c s="797"/>
      <c s="809"/>
      <c s="799"/>
      <c s="800"/>
    </row>
    <row r="21" spans="1:8" ht="27.75">
      <c r="A21" s="810"/>
      <c s="796"/>
      <c s="796"/>
      <c s="797"/>
      <c s="797"/>
      <c s="809"/>
      <c s="799"/>
      <c s="800"/>
    </row>
    <row r="22" spans="1:8" ht="27.75">
      <c r="A22" s="805" t="s">
        <v>340</v>
      </c>
      <c s="796"/>
      <c s="796"/>
      <c s="797"/>
      <c s="797"/>
      <c s="806">
        <f>F16</f>
        <v>1066800</v>
      </c>
      <c s="799"/>
      <c s="808"/>
    </row>
    <row r="23" spans="1:8" ht="27.75">
      <c r="A23" s="805" t="s">
        <v>341</v>
      </c>
      <c s="796"/>
      <c s="796"/>
      <c s="811" t="s">
        <v>750</v>
      </c>
      <c s="811"/>
      <c s="812">
        <f>105*9488</f>
        <v>996240</v>
      </c>
      <c s="799"/>
      <c s="800"/>
    </row>
    <row r="24" spans="1:8" ht="48" customHeight="1" thickBot="1">
      <c r="A24" s="805"/>
      <c s="796"/>
      <c s="796"/>
      <c s="797"/>
      <c s="797"/>
      <c s="813">
        <f>+F16-F23</f>
        <v>70560</v>
      </c>
      <c s="814"/>
      <c s="800"/>
    </row>
    <row r="25" spans="1:8" ht="27.75" thickTop="1">
      <c r="A25" s="815"/>
      <c s="815"/>
      <c s="815"/>
      <c s="815"/>
      <c s="815"/>
      <c s="816"/>
      <c s="817"/>
      <c s="800"/>
    </row>
    <row r="26" spans="1:7" ht="129" customHeight="1">
      <c r="A26" s="815"/>
      <c s="815"/>
      <c s="815"/>
      <c s="815"/>
      <c s="815"/>
      <c s="815"/>
      <c s="818"/>
    </row>
    <row r="29" spans="7:7" ht="12.75">
      <c r="G29" s="867"/>
    </row>
    <row r="38" spans="2:6" ht="23.25">
      <c r="B38" s="819" t="s">
        <v>411</v>
      </c>
      <c s="818"/>
      <c s="818"/>
      <c s="818"/>
      <c s="819" t="s">
        <v>457</v>
      </c>
    </row>
    <row r="39" spans="2:6" ht="23.25">
      <c r="B39" s="818" t="s">
        <v>342</v>
      </c>
      <c s="818"/>
      <c s="818"/>
      <c s="818"/>
      <c s="818" t="s">
        <v>343</v>
      </c>
    </row>
  </sheetData>
  <mergeCells count="5">
    <mergeCell ref="A1:H1"/>
    <mergeCell ref="A2:H2"/>
    <mergeCell ref="A3:H3"/>
    <mergeCell ref="A4:H4"/>
    <mergeCell ref="A5:H5"/>
  </mergeCells>
  <pageMargins left="0" right="0" top="0.748031496062992" bottom="0.748031496062992" header="0.31496062992126" footer="0.31496062992126"/>
  <pageSetup orientation="portrait" paperSize="1" scale="47" r:id="rId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00FF00"/>
  </sheetPr>
  <dimension ref="A2:IV91"/>
  <sheetViews>
    <sheetView workbookViewId="0" topLeftCell="A1">
      <selection pane="topLeft" activeCell="L31" sqref="L31"/>
    </sheetView>
  </sheetViews>
  <sheetFormatPr defaultRowHeight="12.75"/>
  <cols>
    <col min="5" max="5" width="10.1428571428571" customWidth="1"/>
    <col min="17" max="17" width="0.428571428571429" customWidth="1"/>
    <col min="18" max="18" width="10.2857142857143" style="154" customWidth="1"/>
    <col min="19" max="19" width="17.5714285714286" customWidth="1"/>
    <col min="20" max="20" width="16.5714285714286" customWidth="1"/>
  </cols>
  <sheetData>
    <row r="1" ht="13.5" thickBot="1"/>
    <row r="2" spans="1:20" ht="16.5" thickBot="1">
      <c r="A2" s="122" t="s">
        <v>14</v>
      </c>
      <c s="123" t="s">
        <v>16</v>
      </c>
      <c s="123" t="s">
        <v>17</v>
      </c>
      <c s="123" t="s">
        <v>18</v>
      </c>
      <c s="123" t="s">
        <v>19</v>
      </c>
      <c s="123" t="s">
        <v>20</v>
      </c>
      <c s="123" t="s">
        <v>21</v>
      </c>
      <c s="123" t="s">
        <v>22</v>
      </c>
      <c s="123" t="s">
        <v>23</v>
      </c>
      <c s="123" t="s">
        <v>26</v>
      </c>
      <c s="202" t="s">
        <v>145</v>
      </c>
      <c s="202" t="s">
        <v>144</v>
      </c>
      <c s="202" t="s">
        <v>146</v>
      </c>
      <c s="202" t="s">
        <v>147</v>
      </c>
      <c s="202" t="s">
        <v>191</v>
      </c>
      <c s="124" t="s">
        <v>15</v>
      </c>
      <c s="603"/>
      <c s="604" t="s">
        <v>10</v>
      </c>
      <c s="604" t="s">
        <v>400</v>
      </c>
      <c s="604" t="s">
        <v>328</v>
      </c>
    </row>
    <row r="3" spans="1:20" ht="15.75">
      <c r="A3" s="133">
        <v>45597</v>
      </c>
      <c s="740"/>
      <c s="740">
        <v>8</v>
      </c>
      <c s="740">
        <v>49</v>
      </c>
      <c s="740">
        <v>0</v>
      </c>
      <c s="740">
        <v>0</v>
      </c>
      <c s="740">
        <v>0</v>
      </c>
      <c s="740">
        <v>0</v>
      </c>
      <c s="740">
        <v>3</v>
      </c>
      <c s="740">
        <v>38</v>
      </c>
      <c s="740">
        <v>0</v>
      </c>
      <c s="862">
        <v>5</v>
      </c>
      <c s="740">
        <v>0</v>
      </c>
      <c s="740">
        <v>5</v>
      </c>
      <c s="740">
        <v>0</v>
      </c>
      <c s="753">
        <f>SUM(B3:O3)</f>
        <v>108</v>
      </c>
      <c s="603"/>
      <c s="686">
        <v>4</v>
      </c>
      <c s="687">
        <f>+R3*50</f>
        <v>200</v>
      </c>
      <c s="756">
        <v>89755</v>
      </c>
    </row>
    <row r="4" spans="1:20" ht="15.75">
      <c r="A4" s="133">
        <v>45601</v>
      </c>
      <c s="740"/>
      <c s="740">
        <v>11</v>
      </c>
      <c s="740">
        <v>32</v>
      </c>
      <c s="740">
        <v>0</v>
      </c>
      <c s="740">
        <v>0</v>
      </c>
      <c s="740">
        <v>0</v>
      </c>
      <c s="740">
        <v>2</v>
      </c>
      <c s="740">
        <v>0</v>
      </c>
      <c s="740">
        <v>39</v>
      </c>
      <c s="740">
        <v>0</v>
      </c>
      <c s="862">
        <v>4</v>
      </c>
      <c s="740">
        <v>0</v>
      </c>
      <c s="740">
        <v>4</v>
      </c>
      <c s="740">
        <v>0</v>
      </c>
      <c s="753">
        <f t="shared" si="0" ref="P4:P23">SUM(B4:O4)</f>
        <v>92</v>
      </c>
      <c s="603"/>
      <c s="686">
        <v>9</v>
      </c>
      <c s="687">
        <f t="shared" si="1" ref="S4:S25">+R4*50</f>
        <v>450</v>
      </c>
      <c s="756">
        <v>109590</v>
      </c>
    </row>
    <row r="5" spans="1:20" ht="15.75">
      <c r="A5" s="133">
        <v>45602</v>
      </c>
      <c s="740"/>
      <c s="740">
        <v>8</v>
      </c>
      <c s="740">
        <v>44</v>
      </c>
      <c s="740">
        <v>0</v>
      </c>
      <c s="740">
        <v>0</v>
      </c>
      <c s="740">
        <v>0</v>
      </c>
      <c s="740">
        <v>0</v>
      </c>
      <c s="740">
        <v>1</v>
      </c>
      <c s="740">
        <v>25</v>
      </c>
      <c s="740">
        <v>0</v>
      </c>
      <c s="862">
        <v>0</v>
      </c>
      <c s="740">
        <v>0</v>
      </c>
      <c s="740">
        <v>0</v>
      </c>
      <c s="740">
        <v>0</v>
      </c>
      <c s="753">
        <f t="shared" si="0"/>
        <v>78</v>
      </c>
      <c r="R5" s="740">
        <v>9</v>
      </c>
      <c s="687">
        <f t="shared" si="1"/>
        <v>450</v>
      </c>
      <c s="256">
        <v>59015</v>
      </c>
    </row>
    <row r="6" spans="1:20" ht="15.75">
      <c r="A6" s="133">
        <v>45603</v>
      </c>
      <c s="740"/>
      <c s="740">
        <v>7</v>
      </c>
      <c s="740">
        <v>80</v>
      </c>
      <c s="740">
        <v>0</v>
      </c>
      <c s="740">
        <v>0</v>
      </c>
      <c s="740">
        <v>0</v>
      </c>
      <c s="740">
        <v>0</v>
      </c>
      <c s="740">
        <v>0</v>
      </c>
      <c s="740">
        <v>58</v>
      </c>
      <c s="740">
        <v>0</v>
      </c>
      <c s="862">
        <v>3</v>
      </c>
      <c s="740">
        <v>0</v>
      </c>
      <c s="740">
        <v>3</v>
      </c>
      <c s="740">
        <v>0</v>
      </c>
      <c s="753">
        <f t="shared" si="0"/>
        <v>151</v>
      </c>
      <c s="603"/>
      <c s="615">
        <v>19</v>
      </c>
      <c s="687">
        <f t="shared" si="1"/>
        <v>950</v>
      </c>
      <c s="754">
        <v>111255</v>
      </c>
    </row>
    <row r="7" spans="1:20" ht="15.75">
      <c r="A7" s="133">
        <v>45604</v>
      </c>
      <c s="740"/>
      <c s="740">
        <v>5</v>
      </c>
      <c s="740">
        <v>41</v>
      </c>
      <c s="740">
        <v>0</v>
      </c>
      <c s="740">
        <v>0</v>
      </c>
      <c s="740">
        <v>0</v>
      </c>
      <c s="740">
        <v>0</v>
      </c>
      <c s="740">
        <v>0</v>
      </c>
      <c s="740">
        <v>23</v>
      </c>
      <c s="740">
        <v>0</v>
      </c>
      <c s="862">
        <v>2</v>
      </c>
      <c s="740">
        <v>0</v>
      </c>
      <c s="740">
        <v>2</v>
      </c>
      <c s="740">
        <v>0</v>
      </c>
      <c s="753">
        <f t="shared" si="0"/>
        <v>73</v>
      </c>
      <c s="691"/>
      <c s="1118">
        <v>10</v>
      </c>
      <c s="687">
        <f t="shared" si="1"/>
        <v>500</v>
      </c>
      <c s="1113">
        <v>33450</v>
      </c>
    </row>
    <row r="8" spans="1:20" ht="15.75">
      <c r="A8" s="133">
        <v>45607</v>
      </c>
      <c s="740"/>
      <c s="740">
        <v>14</v>
      </c>
      <c s="740">
        <v>47</v>
      </c>
      <c s="740">
        <v>0</v>
      </c>
      <c s="740">
        <v>0</v>
      </c>
      <c s="740">
        <v>0</v>
      </c>
      <c s="740">
        <v>1</v>
      </c>
      <c s="740">
        <v>0</v>
      </c>
      <c s="740">
        <v>44</v>
      </c>
      <c s="740">
        <v>0</v>
      </c>
      <c s="862">
        <v>4</v>
      </c>
      <c s="740">
        <v>0</v>
      </c>
      <c s="740">
        <v>4</v>
      </c>
      <c s="740">
        <v>0</v>
      </c>
      <c s="753">
        <f t="shared" si="0"/>
        <v>114</v>
      </c>
      <c s="603"/>
      <c s="615">
        <v>18</v>
      </c>
      <c s="687">
        <f t="shared" si="1"/>
        <v>900</v>
      </c>
      <c s="754">
        <v>129980</v>
      </c>
    </row>
    <row r="9" spans="1:20" ht="15.75">
      <c r="A9" s="133">
        <v>45608</v>
      </c>
      <c s="740"/>
      <c s="740">
        <v>19</v>
      </c>
      <c s="740">
        <v>80</v>
      </c>
      <c s="740">
        <v>0</v>
      </c>
      <c s="740">
        <v>0</v>
      </c>
      <c s="740">
        <v>0</v>
      </c>
      <c s="740">
        <v>0</v>
      </c>
      <c s="740">
        <v>0</v>
      </c>
      <c s="740">
        <v>55</v>
      </c>
      <c s="740">
        <v>0</v>
      </c>
      <c s="862">
        <v>7</v>
      </c>
      <c s="740">
        <v>0</v>
      </c>
      <c s="740">
        <v>7</v>
      </c>
      <c s="740">
        <v>0</v>
      </c>
      <c s="753">
        <f t="shared" si="0"/>
        <v>168</v>
      </c>
      <c r="R9" s="615">
        <v>9</v>
      </c>
      <c s="687">
        <f t="shared" si="1"/>
        <v>450</v>
      </c>
      <c s="754">
        <v>160165</v>
      </c>
    </row>
    <row r="10" spans="1:256" ht="18" customHeight="1">
      <c r="A10" s="133">
        <v>45609</v>
      </c>
      <c s="740"/>
      <c s="740">
        <v>8</v>
      </c>
      <c s="740">
        <v>53</v>
      </c>
      <c s="740">
        <v>0</v>
      </c>
      <c s="740">
        <v>0</v>
      </c>
      <c s="740">
        <v>0</v>
      </c>
      <c s="740">
        <v>0</v>
      </c>
      <c s="740">
        <v>0</v>
      </c>
      <c s="740">
        <v>44</v>
      </c>
      <c s="740">
        <v>0</v>
      </c>
      <c s="862">
        <v>5</v>
      </c>
      <c s="740">
        <v>0</v>
      </c>
      <c s="740">
        <v>5</v>
      </c>
      <c s="740">
        <v>0</v>
      </c>
      <c s="753">
        <f t="shared" si="0"/>
        <v>115</v>
      </c>
      <c s="133"/>
      <c s="615">
        <v>9</v>
      </c>
      <c s="687">
        <f t="shared" si="1"/>
        <v>450</v>
      </c>
      <c s="256">
        <v>110700</v>
      </c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  <c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40"/>
    </row>
    <row r="11" spans="1:20" ht="15.75">
      <c r="A11" s="133">
        <v>45610</v>
      </c>
      <c s="740"/>
      <c s="740">
        <v>9</v>
      </c>
      <c s="740">
        <v>67</v>
      </c>
      <c s="740">
        <v>0</v>
      </c>
      <c s="740">
        <v>0</v>
      </c>
      <c s="740">
        <v>0</v>
      </c>
      <c s="740">
        <v>0</v>
      </c>
      <c s="740">
        <v>0</v>
      </c>
      <c s="740">
        <v>69</v>
      </c>
      <c s="740">
        <v>0</v>
      </c>
      <c s="862">
        <v>2</v>
      </c>
      <c s="740">
        <v>0</v>
      </c>
      <c s="740">
        <v>2</v>
      </c>
      <c s="740">
        <v>0</v>
      </c>
      <c s="753">
        <f t="shared" si="0"/>
        <v>149</v>
      </c>
      <c s="603"/>
      <c s="615">
        <v>10</v>
      </c>
      <c s="687">
        <f t="shared" si="1"/>
        <v>500</v>
      </c>
      <c s="755">
        <v>165650</v>
      </c>
    </row>
    <row r="12" spans="1:20" ht="15.75">
      <c r="A12" s="133">
        <v>45611</v>
      </c>
      <c s="740"/>
      <c s="740">
        <v>10</v>
      </c>
      <c s="740">
        <v>65</v>
      </c>
      <c s="740">
        <v>0</v>
      </c>
      <c s="740">
        <v>0</v>
      </c>
      <c s="740">
        <v>0</v>
      </c>
      <c s="740">
        <v>0</v>
      </c>
      <c s="740">
        <v>0</v>
      </c>
      <c s="740">
        <v>45</v>
      </c>
      <c s="740">
        <v>0</v>
      </c>
      <c s="862">
        <v>2</v>
      </c>
      <c s="740">
        <v>0</v>
      </c>
      <c s="740">
        <v>2</v>
      </c>
      <c s="740">
        <v>0</v>
      </c>
      <c s="753">
        <f t="shared" si="0"/>
        <v>124</v>
      </c>
      <c s="603"/>
      <c s="615">
        <v>9</v>
      </c>
      <c s="687">
        <f t="shared" si="1"/>
        <v>450</v>
      </c>
      <c s="755">
        <v>123205</v>
      </c>
    </row>
    <row r="13" spans="1:20" ht="15.75">
      <c r="A13" s="133">
        <v>45614</v>
      </c>
      <c s="740"/>
      <c s="740">
        <v>18</v>
      </c>
      <c s="740">
        <v>57</v>
      </c>
      <c s="740">
        <v>0</v>
      </c>
      <c s="740">
        <v>0</v>
      </c>
      <c s="740">
        <v>0</v>
      </c>
      <c s="740">
        <v>0</v>
      </c>
      <c s="740">
        <v>2</v>
      </c>
      <c s="740">
        <v>65</v>
      </c>
      <c s="740">
        <v>0</v>
      </c>
      <c s="862">
        <v>4</v>
      </c>
      <c s="740">
        <v>0</v>
      </c>
      <c s="740">
        <v>4</v>
      </c>
      <c s="740">
        <v>0</v>
      </c>
      <c s="753">
        <f t="shared" si="0"/>
        <v>150</v>
      </c>
      <c s="603"/>
      <c s="615">
        <v>9</v>
      </c>
      <c s="687">
        <f t="shared" si="1"/>
        <v>450</v>
      </c>
      <c s="754">
        <v>189550</v>
      </c>
    </row>
    <row r="14" spans="1:20" ht="15.75">
      <c r="A14" s="133">
        <v>45615</v>
      </c>
      <c s="740"/>
      <c s="740">
        <v>13</v>
      </c>
      <c s="740">
        <v>53</v>
      </c>
      <c s="740">
        <v>0</v>
      </c>
      <c s="740">
        <v>0</v>
      </c>
      <c s="740">
        <v>0</v>
      </c>
      <c s="740">
        <v>0</v>
      </c>
      <c s="740">
        <v>1</v>
      </c>
      <c s="740">
        <v>52</v>
      </c>
      <c s="740">
        <v>0</v>
      </c>
      <c s="862">
        <v>1</v>
      </c>
      <c s="740">
        <v>0</v>
      </c>
      <c s="740">
        <v>1</v>
      </c>
      <c s="740">
        <v>0</v>
      </c>
      <c s="753">
        <f t="shared" si="0"/>
        <v>121</v>
      </c>
      <c s="603"/>
      <c s="615">
        <v>8</v>
      </c>
      <c s="687">
        <f t="shared" si="1"/>
        <v>400</v>
      </c>
      <c s="754">
        <v>138420</v>
      </c>
    </row>
    <row r="15" spans="1:20" ht="15.75">
      <c r="A15" s="133">
        <v>45616</v>
      </c>
      <c s="740"/>
      <c s="740">
        <v>7</v>
      </c>
      <c s="740">
        <v>75</v>
      </c>
      <c s="740">
        <v>0</v>
      </c>
      <c s="740">
        <v>0</v>
      </c>
      <c s="740">
        <v>0</v>
      </c>
      <c s="740">
        <v>0</v>
      </c>
      <c s="740">
        <v>3</v>
      </c>
      <c s="740">
        <v>46</v>
      </c>
      <c s="740">
        <v>0</v>
      </c>
      <c s="862">
        <v>2</v>
      </c>
      <c s="740">
        <v>0</v>
      </c>
      <c s="740">
        <v>2</v>
      </c>
      <c s="740">
        <v>0</v>
      </c>
      <c s="753">
        <f t="shared" si="0"/>
        <v>135</v>
      </c>
      <c s="603"/>
      <c s="615">
        <v>16</v>
      </c>
      <c s="687">
        <f t="shared" si="1"/>
        <v>800</v>
      </c>
      <c s="754">
        <v>115875</v>
      </c>
    </row>
    <row r="16" spans="1:20" ht="15.75">
      <c r="A16" s="133">
        <v>45617</v>
      </c>
      <c s="740"/>
      <c s="740">
        <v>14</v>
      </c>
      <c s="740">
        <v>74</v>
      </c>
      <c s="740">
        <v>0</v>
      </c>
      <c s="740">
        <v>0</v>
      </c>
      <c s="740">
        <v>0</v>
      </c>
      <c s="740">
        <v>0</v>
      </c>
      <c s="740">
        <v>3</v>
      </c>
      <c s="740">
        <v>55</v>
      </c>
      <c s="740">
        <v>0</v>
      </c>
      <c s="862">
        <v>3</v>
      </c>
      <c s="740">
        <v>0</v>
      </c>
      <c s="740">
        <v>3</v>
      </c>
      <c s="740">
        <v>0</v>
      </c>
      <c s="753">
        <f t="shared" si="0"/>
        <v>152</v>
      </c>
      <c s="603"/>
      <c s="615">
        <v>13</v>
      </c>
      <c s="687">
        <f t="shared" si="1"/>
        <v>650</v>
      </c>
      <c s="754">
        <v>131890</v>
      </c>
    </row>
    <row r="17" spans="1:20" ht="15.75">
      <c r="A17" s="133">
        <v>45618</v>
      </c>
      <c s="740"/>
      <c s="740">
        <v>10</v>
      </c>
      <c s="740">
        <v>74</v>
      </c>
      <c s="740">
        <v>0</v>
      </c>
      <c s="740">
        <v>0</v>
      </c>
      <c s="740">
        <v>0</v>
      </c>
      <c s="740">
        <v>0</v>
      </c>
      <c s="740">
        <v>1</v>
      </c>
      <c s="740">
        <v>42</v>
      </c>
      <c s="740">
        <v>1</v>
      </c>
      <c s="862">
        <v>2</v>
      </c>
      <c s="740">
        <v>0</v>
      </c>
      <c s="740">
        <v>3</v>
      </c>
      <c s="740">
        <v>0</v>
      </c>
      <c s="753">
        <f t="shared" si="0"/>
        <v>133</v>
      </c>
      <c s="603"/>
      <c s="615">
        <v>10</v>
      </c>
      <c s="687">
        <f t="shared" si="1"/>
        <v>500</v>
      </c>
      <c s="754">
        <v>110145</v>
      </c>
    </row>
    <row r="18" spans="1:20" ht="15.75">
      <c r="A18" s="133">
        <v>45621</v>
      </c>
      <c s="740"/>
      <c s="740">
        <v>5</v>
      </c>
      <c s="740">
        <v>104</v>
      </c>
      <c s="740">
        <v>0</v>
      </c>
      <c s="740">
        <v>0</v>
      </c>
      <c s="740">
        <v>0</v>
      </c>
      <c s="740">
        <v>1</v>
      </c>
      <c s="740">
        <v>0</v>
      </c>
      <c s="740">
        <v>67</v>
      </c>
      <c s="740">
        <v>0</v>
      </c>
      <c s="862">
        <v>2</v>
      </c>
      <c s="740">
        <v>0</v>
      </c>
      <c s="740">
        <v>2</v>
      </c>
      <c s="740">
        <v>0</v>
      </c>
      <c s="753">
        <f t="shared" si="0"/>
        <v>181</v>
      </c>
      <c s="603"/>
      <c s="615">
        <v>10</v>
      </c>
      <c s="687">
        <f t="shared" si="1"/>
        <v>500</v>
      </c>
      <c s="754">
        <v>166760</v>
      </c>
    </row>
    <row r="19" spans="1:20" ht="15.75">
      <c r="A19" s="133">
        <v>45622</v>
      </c>
      <c s="740"/>
      <c s="740">
        <v>9</v>
      </c>
      <c s="740">
        <v>69</v>
      </c>
      <c s="740">
        <v>0</v>
      </c>
      <c s="740">
        <v>0</v>
      </c>
      <c s="740">
        <v>0</v>
      </c>
      <c s="740">
        <v>0</v>
      </c>
      <c s="740">
        <v>1</v>
      </c>
      <c s="740">
        <v>47</v>
      </c>
      <c s="740">
        <v>0</v>
      </c>
      <c s="862">
        <v>0</v>
      </c>
      <c s="740">
        <v>0</v>
      </c>
      <c s="740">
        <v>0</v>
      </c>
      <c s="740">
        <v>0</v>
      </c>
      <c s="753">
        <f t="shared" si="0"/>
        <v>126</v>
      </c>
      <c r="R19" s="615">
        <v>13</v>
      </c>
      <c s="687">
        <f t="shared" si="1"/>
        <v>650</v>
      </c>
      <c s="754">
        <v>127025</v>
      </c>
    </row>
    <row r="20" spans="1:20" ht="15.75">
      <c r="A20" s="133">
        <v>45623</v>
      </c>
      <c s="740"/>
      <c s="740">
        <v>22</v>
      </c>
      <c s="740">
        <v>86</v>
      </c>
      <c s="740">
        <v>0</v>
      </c>
      <c s="740">
        <v>0</v>
      </c>
      <c s="740">
        <v>0</v>
      </c>
      <c s="740">
        <v>0</v>
      </c>
      <c s="740">
        <v>0</v>
      </c>
      <c s="740">
        <v>66</v>
      </c>
      <c s="740">
        <v>0</v>
      </c>
      <c s="862">
        <v>1</v>
      </c>
      <c s="740">
        <v>0</v>
      </c>
      <c s="740">
        <v>1</v>
      </c>
      <c s="740">
        <v>0</v>
      </c>
      <c s="753">
        <f t="shared" si="0"/>
        <v>176</v>
      </c>
      <c s="603"/>
      <c s="615">
        <v>5</v>
      </c>
      <c s="687">
        <f t="shared" si="1"/>
        <v>250</v>
      </c>
      <c s="754">
        <v>194970</v>
      </c>
    </row>
    <row r="21" spans="1:20" ht="15.75">
      <c r="A21" s="133">
        <v>45624</v>
      </c>
      <c s="740"/>
      <c s="740">
        <v>12</v>
      </c>
      <c s="740">
        <v>75</v>
      </c>
      <c s="740">
        <v>0</v>
      </c>
      <c s="740">
        <v>0</v>
      </c>
      <c s="740">
        <v>0</v>
      </c>
      <c s="740">
        <v>0</v>
      </c>
      <c s="740">
        <v>2</v>
      </c>
      <c s="740">
        <v>56</v>
      </c>
      <c s="740">
        <v>0</v>
      </c>
      <c s="862">
        <v>4</v>
      </c>
      <c s="740">
        <v>0</v>
      </c>
      <c s="740">
        <v>4</v>
      </c>
      <c s="740">
        <v>0</v>
      </c>
      <c s="753">
        <f t="shared" si="0"/>
        <v>153</v>
      </c>
      <c s="603"/>
      <c s="615">
        <v>6</v>
      </c>
      <c s="687">
        <f t="shared" si="1"/>
        <v>300</v>
      </c>
      <c s="754">
        <v>156655</v>
      </c>
    </row>
    <row r="22" spans="1:20" ht="15.75">
      <c r="A22" s="133">
        <v>45625</v>
      </c>
      <c s="740"/>
      <c s="740">
        <v>1</v>
      </c>
      <c s="740">
        <v>7</v>
      </c>
      <c s="740">
        <v>0</v>
      </c>
      <c s="740">
        <v>0</v>
      </c>
      <c s="740">
        <v>0</v>
      </c>
      <c s="740">
        <v>0</v>
      </c>
      <c s="740">
        <v>0</v>
      </c>
      <c s="740">
        <v>6</v>
      </c>
      <c s="740">
        <v>0</v>
      </c>
      <c s="862">
        <v>0</v>
      </c>
      <c s="740">
        <v>0</v>
      </c>
      <c s="740">
        <v>1</v>
      </c>
      <c s="740">
        <v>0</v>
      </c>
      <c s="753">
        <f t="shared" si="0"/>
        <v>15</v>
      </c>
      <c s="603"/>
      <c s="615">
        <v>5</v>
      </c>
      <c s="687">
        <f t="shared" si="1"/>
        <v>250</v>
      </c>
      <c s="754">
        <v>20945</v>
      </c>
    </row>
    <row r="23" spans="1:20" ht="15.75">
      <c r="A23" s="133">
        <v>45626</v>
      </c>
      <c s="740"/>
      <c s="740">
        <v>0</v>
      </c>
      <c s="740">
        <v>1</v>
      </c>
      <c s="740">
        <v>0</v>
      </c>
      <c s="740">
        <v>0</v>
      </c>
      <c s="740">
        <v>0</v>
      </c>
      <c s="740">
        <v>0</v>
      </c>
      <c s="740">
        <v>0</v>
      </c>
      <c s="740">
        <v>1</v>
      </c>
      <c s="740">
        <v>0</v>
      </c>
      <c s="862">
        <v>0</v>
      </c>
      <c s="740">
        <v>0</v>
      </c>
      <c s="740">
        <v>0</v>
      </c>
      <c s="740">
        <v>0</v>
      </c>
      <c s="753">
        <f t="shared" si="0"/>
        <v>2</v>
      </c>
      <c s="603"/>
      <c s="615">
        <v>1</v>
      </c>
      <c s="687">
        <f t="shared" si="1"/>
        <v>50</v>
      </c>
      <c s="754"/>
    </row>
    <row r="24" spans="1:20" ht="15.75">
      <c r="A24"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53">
        <f>SUM(B24:O24)</f>
        <v>0</v>
      </c>
      <c s="603"/>
      <c s="615"/>
      <c s="687">
        <f t="shared" si="1"/>
        <v>0</v>
      </c>
      <c s="754"/>
    </row>
    <row r="25" spans="1:20" ht="15.75">
      <c r="A25" s="133"/>
      <c s="740"/>
      <c s="740"/>
      <c s="740"/>
      <c s="740"/>
      <c s="740"/>
      <c s="740"/>
      <c s="740"/>
      <c s="740"/>
      <c s="740"/>
      <c s="740"/>
      <c s="862"/>
      <c s="740"/>
      <c s="740"/>
      <c s="740"/>
      <c s="753">
        <f>SUM(B25:O25)</f>
        <v>0</v>
      </c>
      <c s="603"/>
      <c s="615"/>
      <c s="687">
        <f t="shared" si="1"/>
        <v>0</v>
      </c>
      <c s="754"/>
    </row>
    <row r="26" spans="1:20" ht="15.75">
      <c r="A26" s="133" t="s">
        <v>305</v>
      </c>
      <c s="618">
        <f>SUM(B3:B25)</f>
        <v>0</v>
      </c>
      <c s="618">
        <f>SUM(C3:C25)</f>
        <v>210</v>
      </c>
      <c s="618">
        <f>SUM(D3:D25)</f>
        <v>1233</v>
      </c>
      <c s="618"/>
      <c s="618"/>
      <c s="618">
        <f>SUM(G13:G25)</f>
        <v>0</v>
      </c>
      <c s="618">
        <f t="shared" si="2" ref="H26:O26">SUM(H3:H25)</f>
        <v>4</v>
      </c>
      <c s="618">
        <f t="shared" si="2"/>
        <v>17</v>
      </c>
      <c s="618">
        <f t="shared" si="2"/>
        <v>943</v>
      </c>
      <c s="618">
        <f t="shared" si="2"/>
        <v>1</v>
      </c>
      <c s="618">
        <f t="shared" si="2"/>
        <v>53</v>
      </c>
      <c s="618">
        <f t="shared" si="2"/>
        <v>0</v>
      </c>
      <c s="618">
        <f t="shared" si="2"/>
        <v>55</v>
      </c>
      <c s="618">
        <f t="shared" si="2"/>
        <v>0</v>
      </c>
      <c s="616">
        <f>SUM(P3:P25)</f>
        <v>2516</v>
      </c>
      <c s="603"/>
      <c s="1174">
        <f>SUM(R3:R25)</f>
        <v>202</v>
      </c>
      <c s="605">
        <f>SUM(S3:S25)</f>
        <v>10100</v>
      </c>
      <c s="605">
        <f>SUM(T3:T25)</f>
        <v>2445000</v>
      </c>
    </row>
    <row r="30" spans="20:20" ht="12.75">
      <c r="T30" s="256"/>
    </row>
    <row r="32" spans="2:20" ht="12.75">
      <c r="B32" s="753"/>
      <c s="753">
        <v>210</v>
      </c>
      <c s="753">
        <v>1233</v>
      </c>
      <c s="753"/>
      <c s="753"/>
      <c s="753"/>
      <c s="753">
        <v>4</v>
      </c>
      <c s="753">
        <v>17</v>
      </c>
      <c s="753">
        <v>943</v>
      </c>
      <c s="753">
        <v>1</v>
      </c>
      <c s="753">
        <v>53</v>
      </c>
      <c s="753"/>
      <c s="753">
        <v>55</v>
      </c>
      <c s="753"/>
      <c s="753"/>
      <c r="R32" s="154">
        <v>202</v>
      </c>
      <c>
        <v>10100</v>
      </c>
      <c s="256">
        <v>2445900</v>
      </c>
    </row>
    <row r="34" spans="5:5" ht="12.75">
      <c r="E34" t="s">
        <v>60</v>
      </c>
    </row>
    <row r="37" spans="20:20" ht="12.75">
      <c r="T37" s="114"/>
    </row>
    <row r="43" spans="13:13" ht="12.75">
      <c r="M43">
        <f>10645+8285+1660+1840</f>
        <v>22430</v>
      </c>
    </row>
    <row r="91" spans="24:24" ht="12.75">
      <c r="X91" t="s">
        <v>60</v>
      </c>
    </row>
  </sheetData>
  <pageMargins left="0.708661417322835" right="0.708661417322835" top="0.748031496062992" bottom="0.748031496062992" header="0.31496062992126" footer="0.31496062992126"/>
  <pageSetup orientation="landscape" paperSize="9" scale="55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S53"/>
  <sheetViews>
    <sheetView workbookViewId="0" topLeftCell="A13">
      <selection pane="topLeft" activeCell="F28" sqref="F28"/>
    </sheetView>
  </sheetViews>
  <sheetFormatPr defaultRowHeight="12.75"/>
  <cols>
    <col min="1" max="1" width="2.42857142857143" style="154" customWidth="1"/>
    <col min="2" max="2" width="8.14285714285714" style="154" customWidth="1"/>
    <col min="3" max="3" width="18" style="154" customWidth="1"/>
    <col min="4" max="5" width="19.1428571428571" style="154" customWidth="1"/>
    <col min="6" max="6" width="71" style="154" customWidth="1"/>
    <col min="7" max="7" width="27.2857142857143" style="154" customWidth="1"/>
    <col min="8" max="8" width="27.8571428571429" style="154" customWidth="1"/>
    <col min="9" max="9" width="0.571428571428571" style="154" customWidth="1"/>
    <col min="10" max="10" width="28.8571428571429" style="154" customWidth="1"/>
    <col min="11" max="11" width="0.142857142857143" style="154" hidden="1" customWidth="1"/>
    <col min="12" max="12" width="27.1428571428571" style="154" customWidth="1"/>
    <col min="13" max="13" width="22.4285714285714" style="154" customWidth="1"/>
    <col min="14" max="14" width="11.4285714285714" style="154"/>
    <col min="15" max="15" width="68.4285714285714" style="154" customWidth="1"/>
    <col min="16" max="16" width="20.4285714285714" style="154" customWidth="1"/>
    <col min="17" max="17" width="19.4285714285714" style="154" customWidth="1"/>
    <col min="18" max="16384" width="11.4285714285714" style="154"/>
  </cols>
  <sheetData>
    <row r="1" spans="1:14" ht="30">
      <c r="A1" s="595"/>
      <c s="1468" t="s">
        <v>58</v>
      </c>
      <c s="1468"/>
      <c s="1468"/>
      <c s="1468"/>
      <c s="1468"/>
      <c s="1468"/>
      <c s="1468"/>
      <c s="1468"/>
      <c s="1468"/>
      <c s="1468"/>
      <c s="1468"/>
      <c s="1468"/>
      <c s="1468"/>
    </row>
    <row r="2" spans="2:14" ht="26.25">
      <c r="B2" s="1469" t="s">
        <v>365</v>
      </c>
      <c s="1469"/>
      <c s="1469"/>
      <c s="1469"/>
      <c s="1469"/>
      <c s="1469"/>
      <c s="1469"/>
      <c s="1469"/>
      <c s="1469"/>
      <c s="1469"/>
      <c s="1469"/>
      <c s="1469"/>
      <c s="1469"/>
    </row>
    <row r="3" spans="2:14" ht="26.25" customHeight="1">
      <c r="B3" s="1518" t="s">
        <v>416</v>
      </c>
      <c s="1518"/>
      <c s="1518"/>
      <c s="1518"/>
      <c s="1518"/>
      <c s="1518"/>
      <c s="1518"/>
      <c s="1518"/>
      <c s="1518"/>
      <c s="1518"/>
      <c s="1518"/>
      <c s="1518"/>
      <c s="1518"/>
    </row>
    <row r="4" spans="2:14" ht="21.75" customHeight="1">
      <c r="B4" s="1518" t="str">
        <f>+FIDEICOMISO!C5</f>
        <v>Del 30 de Noviembre 2024</v>
      </c>
      <c s="1518"/>
      <c s="1518"/>
      <c s="1518"/>
      <c s="1518"/>
      <c s="1518"/>
      <c s="1518"/>
      <c s="1518"/>
      <c s="1518"/>
      <c s="1518"/>
      <c s="1518"/>
      <c s="1518"/>
      <c s="1518"/>
    </row>
    <row r="5" spans="2:14" ht="23.25">
      <c r="B5" s="1518" t="s">
        <v>358</v>
      </c>
      <c s="1518"/>
      <c s="1518"/>
      <c s="1518"/>
      <c s="1518"/>
      <c s="1518"/>
      <c s="1518"/>
      <c s="1518"/>
      <c s="1518"/>
      <c s="1518"/>
      <c s="1518"/>
      <c s="1518"/>
      <c s="1518"/>
    </row>
    <row r="6" spans="2:13" ht="24" thickBot="1">
      <c r="B6" s="594"/>
      <c s="594"/>
      <c s="594"/>
      <c s="594"/>
      <c s="594"/>
      <c s="594"/>
      <c s="594"/>
      <c s="594"/>
      <c s="586"/>
      <c s="586"/>
      <c s="586"/>
      <c s="586"/>
    </row>
    <row r="7" spans="2:13" ht="47.25" customHeight="1">
      <c r="B7" s="1473" t="s">
        <v>38</v>
      </c>
      <c s="1475" t="s">
        <v>417</v>
      </c>
      <c s="1368" t="s">
        <v>418</v>
      </c>
      <c s="1475" t="s">
        <v>361</v>
      </c>
      <c s="1516" t="s">
        <v>360</v>
      </c>
      <c s="1481" t="s">
        <v>359</v>
      </c>
      <c s="1481" t="s">
        <v>419</v>
      </c>
      <c s="629"/>
      <c s="1481" t="s">
        <v>420</v>
      </c>
      <c s="626"/>
      <c s="1481" t="s">
        <v>421</v>
      </c>
      <c s="1481" t="s">
        <v>422</v>
      </c>
    </row>
    <row r="8" spans="2:13" ht="37.5" customHeight="1" thickBot="1">
      <c r="B8" s="1474"/>
      <c s="1476"/>
      <c s="1369"/>
      <c s="1475"/>
      <c s="1517"/>
      <c s="1482"/>
      <c s="1482"/>
      <c s="630"/>
      <c s="1482"/>
      <c s="627" t="s">
        <v>423</v>
      </c>
      <c s="1482"/>
      <c s="1482"/>
    </row>
    <row r="9" spans="2:13" s="177" customFormat="1" ht="24" customHeight="1">
      <c r="B9" s="323" t="s">
        <v>42</v>
      </c>
      <c s="320">
        <f>'OAI '!B10</f>
        <v>85</v>
      </c>
      <c s="320">
        <f>'OAI '!D10</f>
        <v>27</v>
      </c>
      <c s="596">
        <v>6240</v>
      </c>
      <c s="573" t="s">
        <v>0</v>
      </c>
      <c s="631">
        <f>C9*E9</f>
        <v>530400</v>
      </c>
      <c s="584">
        <f>D9-E9</f>
        <v>-6213</v>
      </c>
      <c s="632"/>
      <c s="584" t="e">
        <f>#N/A</f>
        <v>#N/A</v>
      </c>
      <c s="633" t="e">
        <f>#N/A</f>
        <v>#N/A</v>
      </c>
      <c s="584" t="e">
        <f>K9*2200</f>
        <v>#N/A</v>
      </c>
      <c s="584" t="e">
        <f>J9-L9</f>
        <v>#N/A</v>
      </c>
    </row>
    <row r="10" spans="2:13" s="177" customFormat="1" ht="30" customHeight="1">
      <c r="B10" s="323" t="s">
        <v>43</v>
      </c>
      <c s="320">
        <f>'OAI '!B11</f>
        <v>92</v>
      </c>
      <c s="320">
        <f>'OAI '!D11</f>
        <v>301</v>
      </c>
      <c s="597">
        <v>11240</v>
      </c>
      <c s="398" t="s">
        <v>176</v>
      </c>
      <c s="631">
        <f t="shared" si="0" ref="G10:G22">C10*E10</f>
        <v>1034080</v>
      </c>
      <c s="584">
        <f>D10*E10</f>
        <v>3383240</v>
      </c>
      <c s="632"/>
      <c s="584" t="e">
        <f>#N/A</f>
        <v>#N/A</v>
      </c>
      <c s="633" t="e">
        <f>#N/A</f>
        <v>#N/A</v>
      </c>
      <c s="584" t="e">
        <f>K10*2200</f>
        <v>#N/A</v>
      </c>
      <c s="584" t="e">
        <f>#N/A</f>
        <v>#N/A</v>
      </c>
    </row>
    <row r="11" spans="2:13" s="177" customFormat="1" ht="30" customHeight="1">
      <c r="B11" s="323" t="s">
        <v>45</v>
      </c>
      <c s="320">
        <f>'OAI '!B12</f>
        <v>4950</v>
      </c>
      <c s="320">
        <f>'OAI '!D12</f>
        <v>1503</v>
      </c>
      <c s="597">
        <v>4940</v>
      </c>
      <c s="398" t="s">
        <v>177</v>
      </c>
      <c s="631">
        <f t="shared" si="0"/>
        <v>24453000</v>
      </c>
      <c s="584">
        <f t="shared" si="1" ref="H11:H22">D11*E11</f>
        <v>7424820</v>
      </c>
      <c s="632"/>
      <c s="584" t="e">
        <f>#N/A</f>
        <v>#N/A</v>
      </c>
      <c s="633" t="e">
        <f>#N/A</f>
        <v>#N/A</v>
      </c>
      <c s="584" t="e">
        <f>K11*2200</f>
        <v>#N/A</v>
      </c>
      <c s="584" t="e">
        <f>#N/A</f>
        <v>#N/A</v>
      </c>
    </row>
    <row r="12" spans="2:13" s="177" customFormat="1" ht="54" customHeight="1">
      <c r="B12" s="323" t="s">
        <v>47</v>
      </c>
      <c s="320">
        <f>'OAI '!B13</f>
        <v>0</v>
      </c>
      <c s="320">
        <f>'OAI '!D13</f>
        <v>0</v>
      </c>
      <c s="597">
        <v>4615</v>
      </c>
      <c s="398" t="s">
        <v>178</v>
      </c>
      <c s="631">
        <f t="shared" si="0"/>
        <v>0</v>
      </c>
      <c s="584">
        <f t="shared" si="1"/>
        <v>0</v>
      </c>
      <c s="632"/>
      <c s="584" t="e">
        <f>#N/A</f>
        <v>#N/A</v>
      </c>
      <c s="633" t="e">
        <f>#N/A</f>
        <v>#N/A</v>
      </c>
      <c s="584" t="e">
        <f>K12*2075</f>
        <v>#N/A</v>
      </c>
      <c s="584" t="e">
        <f>#N/A</f>
        <v>#N/A</v>
      </c>
    </row>
    <row r="13" spans="2:13" s="177" customFormat="1" ht="42.75" customHeight="1">
      <c r="B13" s="323" t="s">
        <v>49</v>
      </c>
      <c s="320">
        <f>'OAI '!B14</f>
        <v>0</v>
      </c>
      <c s="320">
        <f>'OAI '!D14</f>
        <v>1</v>
      </c>
      <c s="597">
        <v>2840</v>
      </c>
      <c s="398" t="s">
        <v>179</v>
      </c>
      <c s="631">
        <f t="shared" si="0"/>
        <v>0</v>
      </c>
      <c s="584">
        <f t="shared" si="1"/>
        <v>2840</v>
      </c>
      <c s="632"/>
      <c s="584" t="e">
        <f>#N/A</f>
        <v>#N/A</v>
      </c>
      <c s="633" t="e">
        <f>#N/A</f>
        <v>#N/A</v>
      </c>
      <c s="584" t="s">
        <v>372</v>
      </c>
      <c s="584" t="e">
        <f>J13-0</f>
        <v>#N/A</v>
      </c>
    </row>
    <row r="14" spans="2:13" s="177" customFormat="1" ht="30" customHeight="1">
      <c r="B14" s="323" t="s">
        <v>51</v>
      </c>
      <c s="320">
        <f>'OAI '!B15</f>
        <v>30</v>
      </c>
      <c s="320">
        <f>'OAI '!D15</f>
        <v>0</v>
      </c>
      <c s="597">
        <v>500</v>
      </c>
      <c s="398" t="s">
        <v>1</v>
      </c>
      <c s="631">
        <f t="shared" si="0"/>
        <v>15000</v>
      </c>
      <c s="584">
        <f t="shared" si="1"/>
        <v>0</v>
      </c>
      <c s="632"/>
      <c s="584" t="e">
        <f>#N/A</f>
        <v>#N/A</v>
      </c>
      <c s="633" t="e">
        <f>#N/A</f>
        <v>#N/A</v>
      </c>
      <c s="584" t="s">
        <v>372</v>
      </c>
      <c s="584" t="e">
        <f>J14-0</f>
        <v>#N/A</v>
      </c>
    </row>
    <row r="15" spans="2:13" s="177" customFormat="1" ht="39" customHeight="1">
      <c r="B15" s="323" t="s">
        <v>52</v>
      </c>
      <c s="320">
        <f>'OAI '!B16</f>
        <v>0</v>
      </c>
      <c s="320">
        <f>'OAI '!D16</f>
        <v>0</v>
      </c>
      <c s="597">
        <v>2840</v>
      </c>
      <c s="398" t="s">
        <v>180</v>
      </c>
      <c s="631">
        <f t="shared" si="0"/>
        <v>0</v>
      </c>
      <c s="584">
        <f t="shared" si="1"/>
        <v>0</v>
      </c>
      <c s="632"/>
      <c s="584" t="e">
        <f>#N/A</f>
        <v>#N/A</v>
      </c>
      <c s="633" t="e">
        <f>#N/A</f>
        <v>#N/A</v>
      </c>
      <c s="584" t="s">
        <v>372</v>
      </c>
      <c s="584" t="e">
        <f>J15-0</f>
        <v>#N/A</v>
      </c>
    </row>
    <row r="16" spans="2:13" s="177" customFormat="1" ht="30" customHeight="1">
      <c r="B16" s="323" t="s">
        <v>54</v>
      </c>
      <c s="320">
        <f>'OAI '!B17</f>
        <v>77</v>
      </c>
      <c s="320">
        <f>'OAI '!D17</f>
        <v>30</v>
      </c>
      <c s="597">
        <v>700</v>
      </c>
      <c s="398" t="s">
        <v>3</v>
      </c>
      <c s="631">
        <f t="shared" si="0"/>
        <v>53900</v>
      </c>
      <c s="584">
        <f t="shared" si="1"/>
        <v>21000</v>
      </c>
      <c s="632"/>
      <c s="584" t="e">
        <f>#N/A</f>
        <v>#N/A</v>
      </c>
      <c s="633" t="e">
        <f>#N/A</f>
        <v>#N/A</v>
      </c>
      <c s="584" t="s">
        <v>372</v>
      </c>
      <c s="584" t="e">
        <f>J16-0</f>
        <v>#N/A</v>
      </c>
    </row>
    <row r="17" spans="2:13" s="177" customFormat="1" ht="30" customHeight="1">
      <c r="B17" s="323" t="s">
        <v>55</v>
      </c>
      <c s="320">
        <f>'OAI '!B18</f>
        <v>4514</v>
      </c>
      <c s="320">
        <f>'OAI '!D18</f>
        <v>1113</v>
      </c>
      <c s="597">
        <v>700</v>
      </c>
      <c s="399" t="s">
        <v>138</v>
      </c>
      <c s="631">
        <f t="shared" si="0"/>
        <v>3159800</v>
      </c>
      <c s="584">
        <f t="shared" si="1"/>
        <v>779100</v>
      </c>
      <c s="632"/>
      <c s="584" t="e">
        <f>#N/A</f>
        <v>#N/A</v>
      </c>
      <c s="633" t="e">
        <f>#N/A</f>
        <v>#N/A</v>
      </c>
      <c s="584" t="s">
        <v>372</v>
      </c>
      <c s="584" t="e">
        <f>J17-0</f>
        <v>#N/A</v>
      </c>
    </row>
    <row r="18" spans="2:13" s="1" customFormat="1" ht="30" customHeight="1">
      <c r="B18" s="323" t="s">
        <v>133</v>
      </c>
      <c s="320">
        <f>'OAI '!B19</f>
        <v>3</v>
      </c>
      <c s="320">
        <f>'OAI '!D19</f>
        <v>0</v>
      </c>
      <c s="598">
        <v>4615</v>
      </c>
      <c s="399" t="s">
        <v>139</v>
      </c>
      <c s="631">
        <f t="shared" si="0"/>
        <v>13845</v>
      </c>
      <c s="584">
        <f t="shared" si="1"/>
        <v>0</v>
      </c>
      <c s="632"/>
      <c s="584" t="e">
        <f>#N/A</f>
        <v>#N/A</v>
      </c>
      <c s="633" t="e">
        <f>#N/A</f>
        <v>#N/A</v>
      </c>
      <c s="584" t="e">
        <f>K18*2075</f>
        <v>#N/A</v>
      </c>
      <c s="584" t="e">
        <f>#N/A</f>
        <v>#N/A</v>
      </c>
    </row>
    <row r="19" spans="2:13" s="1" customFormat="1" ht="30" customHeight="1">
      <c r="B19" s="323" t="s">
        <v>134</v>
      </c>
      <c s="320">
        <f>'OAI '!B20</f>
        <v>53</v>
      </c>
      <c s="320">
        <f>'OAI '!D20</f>
        <v>57</v>
      </c>
      <c s="598">
        <v>4615</v>
      </c>
      <c s="399" t="s">
        <v>140</v>
      </c>
      <c s="631">
        <f t="shared" si="0"/>
        <v>244595</v>
      </c>
      <c s="584">
        <f t="shared" si="1"/>
        <v>263055</v>
      </c>
      <c s="632"/>
      <c s="584" t="e">
        <f>#N/A</f>
        <v>#N/A</v>
      </c>
      <c s="633" t="e">
        <f>#N/A</f>
        <v>#N/A</v>
      </c>
      <c s="584" t="e">
        <f>K19*2075</f>
        <v>#N/A</v>
      </c>
      <c s="584" t="e">
        <f>#N/A</f>
        <v>#N/A</v>
      </c>
    </row>
    <row r="20" spans="2:13" s="1" customFormat="1" ht="30" customHeight="1">
      <c r="B20" s="323" t="s">
        <v>135</v>
      </c>
      <c s="320">
        <f>'OAI '!B21</f>
        <v>153</v>
      </c>
      <c s="320">
        <f>'OAI '!D21</f>
        <v>0</v>
      </c>
      <c s="598">
        <v>4615</v>
      </c>
      <c s="399" t="s">
        <v>141</v>
      </c>
      <c s="631">
        <f t="shared" si="0"/>
        <v>706095</v>
      </c>
      <c s="584">
        <f t="shared" si="1"/>
        <v>0</v>
      </c>
      <c s="632"/>
      <c s="584" t="e">
        <f>#N/A</f>
        <v>#N/A</v>
      </c>
      <c s="633" t="e">
        <f>#N/A</f>
        <v>#N/A</v>
      </c>
      <c s="584" t="e">
        <f>K20*2075</f>
        <v>#N/A</v>
      </c>
      <c s="584" t="e">
        <f>#N/A</f>
        <v>#N/A</v>
      </c>
    </row>
    <row r="21" spans="2:13" s="1" customFormat="1" ht="30" customHeight="1">
      <c r="B21" s="323" t="s">
        <v>136</v>
      </c>
      <c s="320">
        <f>'OAI '!B22</f>
        <v>203</v>
      </c>
      <c s="320">
        <f>'OAI '!D22</f>
        <v>57</v>
      </c>
      <c s="598">
        <v>700</v>
      </c>
      <c s="399" t="s">
        <v>142</v>
      </c>
      <c s="631">
        <f t="shared" si="0"/>
        <v>142100</v>
      </c>
      <c s="584">
        <f t="shared" si="1"/>
        <v>39900</v>
      </c>
      <c s="632"/>
      <c s="584" t="e">
        <f>#N/A</f>
        <v>#N/A</v>
      </c>
      <c s="633" t="e">
        <f>#N/A</f>
        <v>#N/A</v>
      </c>
      <c s="584" t="s">
        <v>372</v>
      </c>
      <c s="584" t="e">
        <f>J21-0</f>
        <v>#N/A</v>
      </c>
    </row>
    <row r="22" spans="2:13" s="1" customFormat="1" ht="30" customHeight="1">
      <c r="B22" s="323" t="s">
        <v>137</v>
      </c>
      <c s="320">
        <f>'OAI '!B23</f>
        <v>0</v>
      </c>
      <c s="320">
        <f>'OAI '!D23</f>
        <v>0</v>
      </c>
      <c s="598">
        <v>6240</v>
      </c>
      <c s="399" t="s">
        <v>143</v>
      </c>
      <c s="631">
        <f t="shared" si="0"/>
        <v>0</v>
      </c>
      <c s="584">
        <f t="shared" si="1"/>
        <v>0</v>
      </c>
      <c s="632"/>
      <c s="584" t="e">
        <f>#N/A</f>
        <v>#N/A</v>
      </c>
      <c s="633" t="e">
        <f>#N/A</f>
        <v>#N/A</v>
      </c>
      <c s="584" t="e">
        <f>K22*2200</f>
        <v>#N/A</v>
      </c>
      <c s="584" t="e">
        <f>#N/A</f>
        <v>#N/A</v>
      </c>
    </row>
    <row r="23" spans="2:19" ht="46.5" customHeight="1" thickBot="1">
      <c r="B23" s="195" t="s">
        <v>246</v>
      </c>
      <c s="286">
        <f>SUM(C9:C22)</f>
        <v>10160</v>
      </c>
      <c s="286">
        <f>SUM(D9:D22)</f>
        <v>3089</v>
      </c>
      <c s="286"/>
      <c s="634" t="s">
        <v>362</v>
      </c>
      <c s="599">
        <f>SUM(G9:G22)</f>
        <v>30352815</v>
      </c>
      <c s="599">
        <f>SUM(H9:H22)</f>
        <v>11907742</v>
      </c>
      <c s="599"/>
      <c s="599" t="e">
        <f>SUM(J9:J22)</f>
        <v>#N/A</v>
      </c>
      <c s="599"/>
      <c s="599" t="e">
        <f>SUM(L9:L22)</f>
        <v>#N/A</v>
      </c>
      <c s="599" t="e">
        <f>SUM(M9:M22)</f>
        <v>#N/A</v>
      </c>
      <c s="251"/>
      <c s="251"/>
      <c s="251"/>
      <c s="251"/>
      <c s="251"/>
      <c s="251"/>
    </row>
    <row r="24" spans="6:16" ht="155.25" customHeight="1" thickTop="1">
      <c r="F24" s="149"/>
      <c s="304"/>
      <c r="J24" s="576"/>
      <c s="576"/>
      <c s="577"/>
      <c s="578"/>
      <c r="P24" s="483" t="e">
        <f>SUM(#REF!)</f>
        <v>#REF!</v>
      </c>
    </row>
    <row r="25" spans="2:14" s="1" customFormat="1" ht="20.25">
      <c r="B25" s="49"/>
      <c s="587"/>
      <c s="588" t="s">
        <v>492</v>
      </c>
      <c s="588"/>
      <c s="117"/>
      <c r="J25" s="588" t="s">
        <v>424</v>
      </c>
      <c s="579"/>
      <c s="251"/>
      <c s="580"/>
      <c s="431"/>
    </row>
    <row r="26" spans="2:14" s="0" customFormat="1" ht="20.25">
      <c r="B26" s="3"/>
      <c s="589"/>
      <c s="592" t="s">
        <v>493</v>
      </c>
      <c s="590"/>
      <c s="591"/>
      <c s="154"/>
      <c s="154"/>
      <c s="154"/>
      <c s="637" t="s">
        <v>425</v>
      </c>
      <c s="581"/>
      <c s="582"/>
      <c s="583"/>
      <c s="432"/>
    </row>
    <row r="27" spans="2:14" s="53" customFormat="1" ht="20.25">
      <c r="B27" s="51"/>
      <c s="593"/>
      <c s="590" t="s">
        <v>330</v>
      </c>
      <c s="593"/>
      <c s="590"/>
      <c r="J27" s="591" t="s">
        <v>373</v>
      </c>
      <c s="251"/>
      <c s="251"/>
      <c s="251"/>
      <c s="433"/>
    </row>
    <row r="28" spans="3:13" ht="20.25">
      <c r="C28" s="591"/>
      <c s="591"/>
      <c s="591"/>
      <c s="591"/>
      <c s="591"/>
      <c s="591"/>
      <c s="591"/>
      <c s="251"/>
      <c s="251"/>
      <c s="251"/>
      <c s="251"/>
    </row>
    <row r="29" spans="10:13" ht="12.75">
      <c r="J29" s="251"/>
      <c s="251"/>
      <c s="251"/>
      <c s="251"/>
    </row>
    <row r="30" spans="10:13" ht="12.75">
      <c r="J30" s="251"/>
      <c s="251"/>
      <c s="251"/>
      <c s="251"/>
    </row>
    <row r="31" spans="10:13" ht="12.75">
      <c r="J31" s="251"/>
      <c s="251"/>
      <c s="251"/>
      <c s="251"/>
    </row>
    <row r="32" spans="10:13" ht="12.75">
      <c r="J32" s="251"/>
      <c s="251"/>
      <c s="251"/>
      <c s="251"/>
    </row>
    <row r="33" spans="10:13" ht="12.75">
      <c r="J33" s="251"/>
      <c s="251"/>
      <c s="251"/>
      <c s="251"/>
    </row>
    <row r="34" spans="10:13" ht="12.75">
      <c r="J34" s="251"/>
      <c s="251"/>
      <c s="251"/>
      <c s="251"/>
    </row>
    <row r="35" spans="10:13" ht="12.75">
      <c r="J35" s="251"/>
      <c s="251"/>
      <c s="251"/>
      <c s="251"/>
    </row>
    <row r="36" spans="10:13" ht="12.75">
      <c r="J36" s="251"/>
      <c s="251"/>
      <c s="251"/>
      <c s="251"/>
    </row>
    <row r="37" spans="10:13" ht="12.75">
      <c r="J37" s="251"/>
      <c s="251"/>
      <c s="251"/>
      <c s="251"/>
    </row>
    <row r="38" spans="10:13" ht="12.75">
      <c r="J38" s="251"/>
      <c s="251"/>
      <c s="251"/>
      <c s="251"/>
    </row>
    <row r="39" spans="10:13" ht="12.75">
      <c r="J39" s="251"/>
      <c s="251"/>
      <c s="251"/>
      <c s="251"/>
    </row>
    <row r="40" spans="10:13" ht="12.75">
      <c r="J40" s="251"/>
      <c s="251"/>
      <c s="251"/>
      <c s="251"/>
    </row>
    <row r="41" spans="10:13" ht="12.75">
      <c r="J41" s="251"/>
      <c s="251"/>
      <c s="251"/>
      <c s="251"/>
    </row>
    <row r="42" spans="10:13" ht="12.75">
      <c r="J42" s="251"/>
      <c s="251"/>
      <c s="251"/>
      <c s="251"/>
    </row>
    <row r="43" spans="10:13" ht="12.75">
      <c r="J43" s="251"/>
      <c s="251"/>
      <c s="251"/>
      <c s="251"/>
    </row>
    <row r="44" spans="10:13" ht="12.75">
      <c r="J44" s="251"/>
      <c s="251"/>
      <c s="251"/>
      <c s="251"/>
    </row>
    <row r="45" spans="10:13" ht="12.75">
      <c r="J45" s="251"/>
      <c s="251"/>
      <c s="251"/>
      <c s="251"/>
    </row>
    <row r="46" spans="10:13" ht="12.75">
      <c r="J46" s="251"/>
      <c s="251"/>
      <c s="251"/>
      <c s="251"/>
    </row>
    <row r="47" spans="10:13" ht="12.75">
      <c r="J47" s="251"/>
      <c s="251"/>
      <c s="251"/>
      <c s="251"/>
    </row>
    <row r="48" spans="10:13" ht="12.75">
      <c r="J48" s="251"/>
      <c s="251"/>
      <c s="251"/>
      <c s="251"/>
    </row>
    <row r="49" spans="10:13" ht="12.75">
      <c r="J49" s="251"/>
      <c s="251"/>
      <c s="251"/>
      <c s="251"/>
    </row>
    <row r="50" spans="10:13" ht="12.75">
      <c r="J50" s="251"/>
      <c s="251"/>
      <c s="251"/>
      <c s="251"/>
    </row>
    <row r="51" spans="10:13" ht="12.75">
      <c r="J51" s="251"/>
      <c s="251"/>
      <c s="251"/>
      <c s="251"/>
    </row>
    <row r="52" spans="10:13" ht="12.75">
      <c r="J52" s="251"/>
      <c s="251"/>
      <c s="251"/>
      <c s="251"/>
    </row>
    <row r="53" spans="10:13" ht="12.75">
      <c r="J53" s="251"/>
      <c s="251"/>
      <c s="251"/>
      <c s="251"/>
    </row>
  </sheetData>
  <mergeCells count="15">
    <mergeCell ref="J7:J8"/>
    <mergeCell ref="L7:L8"/>
    <mergeCell ref="M7:M8"/>
    <mergeCell ref="B1:N1"/>
    <mergeCell ref="B2:N2"/>
    <mergeCell ref="B3:N3"/>
    <mergeCell ref="B4:N4"/>
    <mergeCell ref="B5:N5"/>
    <mergeCell ref="B7:B8"/>
    <mergeCell ref="C7:C8"/>
    <mergeCell ref="D7:D8"/>
    <mergeCell ref="E7:E8"/>
    <mergeCell ref="F7:F8"/>
    <mergeCell ref="G7:G8"/>
    <mergeCell ref="H7:H8"/>
  </mergeCells>
  <pageMargins left="0.708661417322835" right="0" top="0.748031496062992" bottom="0" header="0.31496062992126" footer="0.31496062992126"/>
  <pageSetup orientation="landscape" paperSize="9" scale="48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U83"/>
  <sheetViews>
    <sheetView workbookViewId="0" topLeftCell="A55">
      <selection pane="topLeft" activeCell="H79" sqref="H79"/>
    </sheetView>
  </sheetViews>
  <sheetFormatPr defaultColWidth="20.8542857142857" defaultRowHeight="12.75"/>
  <cols>
    <col min="1" max="1" width="11.5714285714286" style="154" customWidth="1"/>
    <col min="2" max="2" width="10.8571428571429" style="154" customWidth="1"/>
    <col min="3" max="3" width="52.7142857142857" style="154" customWidth="1"/>
    <col min="4" max="4" width="20.8571428571429" style="154" customWidth="1"/>
    <col min="5" max="6" width="20.8571428571429" style="154" hidden="1" customWidth="1"/>
    <col min="7" max="7" width="27.4285714285714" style="154" customWidth="1"/>
    <col min="8" max="8" width="22.4285714285714" style="154" customWidth="1"/>
    <col min="9" max="9" width="23.2857142857143" style="154" customWidth="1"/>
    <col min="10" max="10" width="19" style="154" customWidth="1"/>
    <col min="11" max="11" width="18.4285714285714" style="154" customWidth="1"/>
    <col min="12" max="16384" width="20.8571428571429" style="154"/>
  </cols>
  <sheetData>
    <row r="1" spans="1:11" ht="54" customHeight="1">
      <c r="A1" s="324" t="s">
        <v>60</v>
      </c>
      <c s="324"/>
      <c s="324"/>
      <c s="324"/>
      <c s="324"/>
      <c s="324"/>
      <c s="324"/>
      <c s="324"/>
      <c s="714"/>
      <c s="324"/>
      <c s="324"/>
    </row>
    <row r="2" spans="1:11" ht="30">
      <c r="A2" s="1468" t="s">
        <v>58</v>
      </c>
      <c s="1468"/>
      <c s="1468"/>
      <c s="1468"/>
      <c s="1468"/>
      <c s="1468"/>
      <c s="1468"/>
      <c s="1468"/>
      <c s="1468"/>
      <c s="1468"/>
      <c s="1468"/>
    </row>
    <row r="3" spans="1:11" ht="26.25">
      <c r="A3" s="1469" t="s">
        <v>374</v>
      </c>
      <c s="1469"/>
      <c s="1469"/>
      <c s="1469"/>
      <c s="1469"/>
      <c s="1469"/>
      <c s="1469"/>
      <c s="1469"/>
      <c s="1469"/>
      <c s="1469"/>
      <c s="1469"/>
    </row>
    <row r="4" spans="1:11" ht="26.25">
      <c r="A4" s="1469" t="s">
        <v>365</v>
      </c>
      <c s="1469"/>
      <c s="1469"/>
      <c s="1469"/>
      <c s="1469"/>
      <c s="1469"/>
      <c s="1469"/>
      <c s="1469"/>
      <c s="1469"/>
      <c s="1469"/>
      <c s="1469"/>
    </row>
    <row r="5" spans="1:11" ht="18">
      <c r="A5" s="1522" t="str">
        <f>+'OAI '!A5:T5</f>
        <v>Reportes de los Ingresos según Ley No. 36 y Resolución No. 02-05; 02-06 de los Cobros BanReservas , Caja General y SIRITE al 31/03/2025</v>
      </c>
      <c s="1522"/>
      <c s="1522"/>
      <c s="1522"/>
      <c s="1522"/>
      <c s="1522"/>
      <c s="1522"/>
      <c s="1522"/>
      <c s="1522"/>
      <c s="1522"/>
      <c s="1522"/>
    </row>
    <row r="6" spans="1:11" ht="20.25">
      <c r="A6" s="1470" t="s">
        <v>375</v>
      </c>
      <c s="1470"/>
      <c s="1470"/>
      <c s="1470"/>
      <c s="1470"/>
      <c s="1470"/>
      <c s="1470"/>
      <c s="1470"/>
      <c s="1470"/>
      <c s="1470"/>
      <c s="1470"/>
    </row>
    <row r="7" spans="1:11" ht="17.25" customHeight="1" thickBot="1">
      <c r="A7" s="1471"/>
      <c s="1471"/>
      <c s="1471"/>
      <c s="1471"/>
      <c s="1471"/>
      <c r="H7" s="1472"/>
      <c s="1472"/>
      <c s="1472"/>
      <c s="1472"/>
    </row>
    <row r="8" spans="1:11" ht="62.25" customHeight="1" thickBot="1">
      <c r="A8" s="1473" t="s">
        <v>38</v>
      </c>
      <c s="1363" t="s">
        <v>307</v>
      </c>
      <c s="370"/>
      <c s="370"/>
      <c s="696"/>
      <c s="697"/>
      <c s="698" t="s">
        <v>309</v>
      </c>
      <c s="1519" t="s">
        <v>308</v>
      </c>
      <c s="1520"/>
      <c s="1520"/>
      <c s="1521"/>
    </row>
    <row r="9" spans="1:11" ht="71.25" customHeight="1" thickBot="1">
      <c r="A9" s="1474"/>
      <c s="1364"/>
      <c s="396" t="s">
        <v>40</v>
      </c>
      <c s="692" t="s">
        <v>157</v>
      </c>
      <c s="422"/>
      <c s="366"/>
      <c s="404" t="s">
        <v>186</v>
      </c>
      <c s="368" t="s">
        <v>281</v>
      </c>
      <c s="368" t="s">
        <v>278</v>
      </c>
      <c s="368" t="s">
        <v>279</v>
      </c>
      <c s="699" t="s">
        <v>247</v>
      </c>
    </row>
    <row r="10" spans="1:11" s="177" customFormat="1" ht="30" customHeight="1">
      <c r="A10" s="323" t="s">
        <v>42</v>
      </c>
      <c s="320">
        <f>+'OAI '!D10</f>
        <v>27</v>
      </c>
      <c s="397" t="s">
        <v>0</v>
      </c>
      <c s="693">
        <v>6240</v>
      </c>
      <c s="245"/>
      <c s="245"/>
      <c s="322">
        <f>+B10*D10</f>
        <v>168480</v>
      </c>
      <c s="758">
        <f>+G10-I10-J10-K10</f>
        <v>83268</v>
      </c>
      <c s="185">
        <f>B10*2200</f>
        <v>59400</v>
      </c>
      <c s="185">
        <f>B10*800</f>
        <v>21600</v>
      </c>
      <c s="701">
        <f>+G10*2.5%</f>
        <v>4212</v>
      </c>
    </row>
    <row r="11" spans="1:11" s="177" customFormat="1" ht="30" customHeight="1">
      <c r="A11" s="323" t="s">
        <v>43</v>
      </c>
      <c s="320">
        <f>+'OAI '!D11</f>
        <v>301</v>
      </c>
      <c s="398" t="s">
        <v>176</v>
      </c>
      <c s="693">
        <v>11240</v>
      </c>
      <c s="245"/>
      <c s="245"/>
      <c s="322">
        <f>+B11*D11</f>
        <v>3383240</v>
      </c>
      <c s="758">
        <f>+G11-I11-J11-K11</f>
        <v>2395659</v>
      </c>
      <c s="185">
        <f>B11*2200</f>
        <v>662200</v>
      </c>
      <c s="185">
        <f>B11*800</f>
        <v>240800</v>
      </c>
      <c s="701">
        <f>+G11*2.5%</f>
        <v>84581</v>
      </c>
    </row>
    <row r="12" spans="1:11" s="177" customFormat="1" ht="30" customHeight="1">
      <c r="A12" s="323" t="s">
        <v>45</v>
      </c>
      <c s="320">
        <f>+'OAI '!D12</f>
        <v>1503</v>
      </c>
      <c s="398" t="s">
        <v>177</v>
      </c>
      <c s="693">
        <v>4940</v>
      </c>
      <c s="245"/>
      <c s="245"/>
      <c s="322">
        <f>+B12*D12</f>
        <v>7424820</v>
      </c>
      <c s="758">
        <f>+G12-I12-J12-K12</f>
        <v>3932599.5</v>
      </c>
      <c s="185">
        <f>B12*2200</f>
        <v>3306600</v>
      </c>
      <c s="185"/>
      <c s="701">
        <f>+G12*2.5%</f>
        <v>185620.5</v>
      </c>
    </row>
    <row r="13" spans="1:11" s="177" customFormat="1" ht="55.5" customHeight="1">
      <c r="A13" s="323" t="s">
        <v>47</v>
      </c>
      <c s="320">
        <f>+'OAI '!D13</f>
        <v>0</v>
      </c>
      <c s="398" t="s">
        <v>178</v>
      </c>
      <c s="693">
        <v>4615</v>
      </c>
      <c s="245"/>
      <c s="245"/>
      <c s="322"/>
      <c s="758"/>
      <c s="185">
        <f>+B13*2075</f>
        <v>0</v>
      </c>
      <c s="185"/>
      <c s="701"/>
    </row>
    <row r="14" spans="1:11" s="177" customFormat="1" ht="42.75" customHeight="1">
      <c r="A14" s="323" t="s">
        <v>49</v>
      </c>
      <c s="320">
        <f>+'OAI '!D14</f>
        <v>1</v>
      </c>
      <c s="398" t="s">
        <v>179</v>
      </c>
      <c s="693">
        <v>2840</v>
      </c>
      <c s="245"/>
      <c s="245"/>
      <c s="322">
        <f>+B14*D14</f>
        <v>2840</v>
      </c>
      <c s="758">
        <f>+G14-I14-J14-K14</f>
        <v>2769</v>
      </c>
      <c s="185"/>
      <c s="184"/>
      <c s="701">
        <f>+G14*2.5%</f>
        <v>71</v>
      </c>
    </row>
    <row r="15" spans="1:11" s="177" customFormat="1" ht="30" customHeight="1">
      <c r="A15" s="323" t="s">
        <v>51</v>
      </c>
      <c s="320">
        <f>+'OAI '!D15</f>
        <v>0</v>
      </c>
      <c s="398" t="s">
        <v>1</v>
      </c>
      <c s="693">
        <v>500</v>
      </c>
      <c s="245"/>
      <c s="321"/>
      <c s="322">
        <f>+B15*D15</f>
        <v>0</v>
      </c>
      <c s="758">
        <f>+G15-I15-J15-K15</f>
        <v>0</v>
      </c>
      <c s="185"/>
      <c s="185"/>
      <c s="701">
        <f>+G15*2.5%</f>
        <v>0</v>
      </c>
    </row>
    <row r="16" spans="1:11" s="177" customFormat="1" ht="39" customHeight="1">
      <c r="A16" s="323" t="s">
        <v>52</v>
      </c>
      <c s="320">
        <f>+'OAI '!D16</f>
        <v>0</v>
      </c>
      <c s="398" t="s">
        <v>180</v>
      </c>
      <c s="693">
        <v>2840</v>
      </c>
      <c s="245"/>
      <c s="321"/>
      <c s="322"/>
      <c s="758"/>
      <c s="185"/>
      <c s="185"/>
      <c s="701">
        <v>0</v>
      </c>
    </row>
    <row r="17" spans="1:11" s="177" customFormat="1" ht="30" customHeight="1">
      <c r="A17" s="323" t="s">
        <v>54</v>
      </c>
      <c s="320">
        <f>+'OAI '!D17</f>
        <v>30</v>
      </c>
      <c s="398" t="s">
        <v>3</v>
      </c>
      <c s="693">
        <v>700</v>
      </c>
      <c s="245"/>
      <c s="321"/>
      <c s="322">
        <f>+B17*D17</f>
        <v>21000</v>
      </c>
      <c s="758">
        <f>+G17-I17-J17-K17</f>
        <v>20475</v>
      </c>
      <c s="185"/>
      <c s="185"/>
      <c s="701">
        <f>+G17*2.5%</f>
        <v>525</v>
      </c>
    </row>
    <row r="18" spans="1:11" s="177" customFormat="1" ht="41.25" customHeight="1">
      <c r="A18" s="323" t="s">
        <v>55</v>
      </c>
      <c s="320">
        <f>+'OAI '!D18</f>
        <v>1113</v>
      </c>
      <c s="399" t="s">
        <v>138</v>
      </c>
      <c s="693">
        <v>700</v>
      </c>
      <c s="245"/>
      <c s="321"/>
      <c s="322">
        <f>+B18*D18</f>
        <v>779100</v>
      </c>
      <c s="758">
        <f>+G18-I18-J18-K18</f>
        <v>759622.5</v>
      </c>
      <c s="185"/>
      <c s="185"/>
      <c s="701">
        <f>+G18*2.5%</f>
        <v>19477.5</v>
      </c>
    </row>
    <row r="19" spans="1:11" s="1" customFormat="1" ht="30" customHeight="1">
      <c r="A19" s="323" t="s">
        <v>133</v>
      </c>
      <c s="320">
        <f>+'OAI '!D19</f>
        <v>0</v>
      </c>
      <c s="399" t="s">
        <v>139</v>
      </c>
      <c s="694">
        <v>4615</v>
      </c>
      <c s="245"/>
      <c s="321"/>
      <c s="322">
        <f>+B19*D19</f>
        <v>0</v>
      </c>
      <c s="758">
        <f>+G19-I19-J19-K19</f>
        <v>0</v>
      </c>
      <c s="185">
        <f>B19*2075</f>
        <v>0</v>
      </c>
      <c s="185">
        <f>B19*800</f>
        <v>0</v>
      </c>
      <c s="701">
        <f>+G19*2.5%</f>
        <v>0</v>
      </c>
    </row>
    <row r="20" spans="1:11" s="1" customFormat="1" ht="30" customHeight="1">
      <c r="A20" s="323" t="s">
        <v>134</v>
      </c>
      <c s="320">
        <f>+'OAI '!D20</f>
        <v>57</v>
      </c>
      <c s="399" t="s">
        <v>140</v>
      </c>
      <c s="694">
        <v>4615</v>
      </c>
      <c s="245"/>
      <c s="321"/>
      <c s="322">
        <f>+B20*D20</f>
        <v>263055</v>
      </c>
      <c s="758">
        <f>+G20-I20-J20-K20</f>
        <v>92603.625</v>
      </c>
      <c s="185">
        <f>B20*2075</f>
        <v>118275</v>
      </c>
      <c s="185">
        <f>B20*800</f>
        <v>45600</v>
      </c>
      <c s="701">
        <f>+G20*2.5%</f>
        <v>6576.375</v>
      </c>
    </row>
    <row r="21" spans="1:11" s="1" customFormat="1" ht="30" customHeight="1">
      <c r="A21" s="323" t="s">
        <v>135</v>
      </c>
      <c s="320">
        <f>+'OAI '!D21</f>
        <v>0</v>
      </c>
      <c s="399" t="s">
        <v>141</v>
      </c>
      <c s="694">
        <v>4615</v>
      </c>
      <c s="245"/>
      <c s="321"/>
      <c s="322"/>
      <c s="758"/>
      <c s="185">
        <f>B21*2075</f>
        <v>0</v>
      </c>
      <c s="185">
        <f>B21*800</f>
        <v>0</v>
      </c>
      <c s="701"/>
    </row>
    <row r="22" spans="1:11" s="1" customFormat="1" ht="30" customHeight="1">
      <c r="A22" s="323" t="s">
        <v>136</v>
      </c>
      <c s="320">
        <f>+'OAI '!D22</f>
        <v>57</v>
      </c>
      <c s="399" t="s">
        <v>142</v>
      </c>
      <c s="694">
        <v>700</v>
      </c>
      <c s="245"/>
      <c s="321"/>
      <c s="322">
        <f>+B22*D22</f>
        <v>39900</v>
      </c>
      <c s="758">
        <f>+G22-I22-J22-K22</f>
        <v>38902.5</v>
      </c>
      <c s="185"/>
      <c s="185"/>
      <c s="701">
        <f>+G22*2.5%</f>
        <v>997.5</v>
      </c>
    </row>
    <row r="23" spans="1:11" s="1" customFormat="1" ht="30" customHeight="1">
      <c r="A23" s="323" t="s">
        <v>137</v>
      </c>
      <c s="320">
        <f>+'OAI '!D23</f>
        <v>0</v>
      </c>
      <c s="399" t="s">
        <v>143</v>
      </c>
      <c s="694">
        <v>6240</v>
      </c>
      <c s="245"/>
      <c s="321"/>
      <c s="322"/>
      <c s="758"/>
      <c s="185">
        <f>B23*2200</f>
        <v>0</v>
      </c>
      <c s="185"/>
      <c s="701"/>
    </row>
    <row r="24" spans="1:11" s="1" customFormat="1" ht="30" customHeight="1">
      <c r="A24" s="323" t="s">
        <v>244</v>
      </c>
      <c s="320">
        <f>+'OAI '!D24</f>
        <v>3089</v>
      </c>
      <c s="399" t="s">
        <v>245</v>
      </c>
      <c s="694">
        <v>105</v>
      </c>
      <c s="245"/>
      <c s="321"/>
      <c s="322">
        <f>+B24*D24</f>
        <v>324345</v>
      </c>
      <c s="758">
        <f>+G24-I24-J24-K24</f>
        <v>316236.375</v>
      </c>
      <c s="185"/>
      <c s="185"/>
      <c s="701">
        <f>+G24*2.5%</f>
        <v>8108.625</v>
      </c>
    </row>
    <row r="25" spans="1:11" s="1" customFormat="1" ht="39" customHeight="1">
      <c r="A25" s="387" t="s">
        <v>248</v>
      </c>
      <c s="320">
        <f>+'OAI '!D25</f>
        <v>0</v>
      </c>
      <c s="347" t="s">
        <v>249</v>
      </c>
      <c s="759">
        <f>+'OAI '!D25</f>
        <v>0</v>
      </c>
      <c s="341"/>
      <c s="342"/>
      <c s="322"/>
      <c s="758"/>
      <c s="185"/>
      <c s="760">
        <v>0</v>
      </c>
      <c s="701">
        <f t="shared" si="0" ref="K25:K34">+G25*2.5%</f>
        <v>0</v>
      </c>
    </row>
    <row r="26" spans="1:11" s="1" customFormat="1" ht="30" customHeight="1">
      <c r="A26" s="388" t="s">
        <v>250</v>
      </c>
      <c s="320">
        <f>+'OAI '!D26</f>
        <v>0</v>
      </c>
      <c s="345" t="s">
        <v>251</v>
      </c>
      <c s="759">
        <f>+'OAI '!D26</f>
        <v>0</v>
      </c>
      <c s="341"/>
      <c s="342"/>
      <c s="322"/>
      <c s="758"/>
      <c s="185"/>
      <c s="761">
        <v>0</v>
      </c>
      <c s="701">
        <f t="shared" si="0"/>
        <v>0</v>
      </c>
    </row>
    <row r="27" spans="1:11" s="1" customFormat="1" ht="30" customHeight="1">
      <c r="A27" s="388" t="s">
        <v>252</v>
      </c>
      <c s="320">
        <f>+'OAI '!D27</f>
        <v>0</v>
      </c>
      <c s="346" t="s">
        <v>253</v>
      </c>
      <c s="759">
        <f>+'OAI '!D27</f>
        <v>0</v>
      </c>
      <c s="341"/>
      <c s="342"/>
      <c s="322"/>
      <c s="758"/>
      <c s="185"/>
      <c s="762">
        <v>0</v>
      </c>
      <c s="701">
        <f t="shared" si="0"/>
        <v>0</v>
      </c>
    </row>
    <row r="28" spans="1:11" s="1" customFormat="1" ht="30" customHeight="1">
      <c r="A28" s="388" t="s">
        <v>314</v>
      </c>
      <c s="320">
        <f>+'OAI '!D28</f>
        <v>0</v>
      </c>
      <c s="346" t="s">
        <v>315</v>
      </c>
      <c s="759">
        <f>+'OAI '!D28</f>
        <v>0</v>
      </c>
      <c s="341"/>
      <c s="342"/>
      <c s="322"/>
      <c s="758"/>
      <c s="185"/>
      <c s="762"/>
      <c s="701">
        <f t="shared" si="0"/>
        <v>0</v>
      </c>
    </row>
    <row r="29" spans="1:11" s="1" customFormat="1" ht="30" customHeight="1">
      <c r="A29" s="387" t="s">
        <v>298</v>
      </c>
      <c s="320">
        <f>+'OAI '!D29</f>
        <v>0</v>
      </c>
      <c s="475" t="s">
        <v>299</v>
      </c>
      <c s="759">
        <f>+'OAI '!D29</f>
        <v>0</v>
      </c>
      <c s="341"/>
      <c s="342"/>
      <c s="322"/>
      <c s="758"/>
      <c s="185"/>
      <c s="762"/>
      <c s="701">
        <f t="shared" si="0"/>
        <v>0</v>
      </c>
    </row>
    <row r="30" spans="1:11" s="1" customFormat="1" ht="30" customHeight="1">
      <c r="A30" s="387" t="s">
        <v>323</v>
      </c>
      <c s="320">
        <f>+'OAI '!D30</f>
        <v>0</v>
      </c>
      <c s="530" t="s">
        <v>391</v>
      </c>
      <c s="759">
        <f>+'OAI '!D30</f>
        <v>0</v>
      </c>
      <c s="341"/>
      <c s="342"/>
      <c s="322"/>
      <c s="758"/>
      <c s="185"/>
      <c s="762"/>
      <c s="701">
        <f t="shared" si="0"/>
        <v>0</v>
      </c>
    </row>
    <row r="31" spans="1:11" s="1" customFormat="1" ht="30" customHeight="1">
      <c r="A31" s="387" t="s">
        <v>325</v>
      </c>
      <c s="320">
        <f>+'OAI '!D31</f>
        <v>0</v>
      </c>
      <c s="530" t="s">
        <v>392</v>
      </c>
      <c s="759">
        <f>+'OAI '!D31</f>
        <v>0</v>
      </c>
      <c s="341"/>
      <c s="342"/>
      <c s="322"/>
      <c s="758"/>
      <c s="185"/>
      <c s="762"/>
      <c s="701">
        <f t="shared" si="0"/>
        <v>0</v>
      </c>
    </row>
    <row r="32" spans="1:11" s="1" customFormat="1" ht="37.5">
      <c r="A32" s="388" t="s">
        <v>319</v>
      </c>
      <c s="320">
        <f>+'OAI '!D32</f>
        <v>0</v>
      </c>
      <c s="346" t="s">
        <v>320</v>
      </c>
      <c s="759">
        <f>+'OAI '!D32</f>
        <v>0</v>
      </c>
      <c s="341"/>
      <c s="342"/>
      <c s="322"/>
      <c s="758"/>
      <c s="185"/>
      <c s="762">
        <v>0</v>
      </c>
      <c s="701">
        <f t="shared" si="0"/>
        <v>0</v>
      </c>
    </row>
    <row r="33" spans="1:11" s="1" customFormat="1" ht="30" customHeight="1">
      <c r="A33" s="388" t="s">
        <v>254</v>
      </c>
      <c s="320">
        <f>+'OAI '!D33</f>
        <v>137</v>
      </c>
      <c s="346" t="s">
        <v>255</v>
      </c>
      <c s="759">
        <v>50</v>
      </c>
      <c s="341"/>
      <c s="342"/>
      <c s="322">
        <f>+B33*D33</f>
        <v>6850</v>
      </c>
      <c s="758">
        <f>+G33-I33-J33-K33</f>
        <v>6678.75</v>
      </c>
      <c s="185"/>
      <c s="762">
        <v>0</v>
      </c>
      <c s="701">
        <f t="shared" si="0"/>
        <v>171.25</v>
      </c>
    </row>
    <row r="34" spans="1:11" s="1" customFormat="1" ht="41.25" customHeight="1">
      <c r="A34" s="388" t="s">
        <v>256</v>
      </c>
      <c s="320">
        <f>+'OAI '!D34</f>
        <v>0</v>
      </c>
      <c s="346" t="s">
        <v>257</v>
      </c>
      <c s="759">
        <f>+'OAI '!D34</f>
        <v>0</v>
      </c>
      <c s="341"/>
      <c s="342"/>
      <c s="322"/>
      <c s="758"/>
      <c s="185"/>
      <c s="762">
        <v>0</v>
      </c>
      <c s="701">
        <f t="shared" si="0"/>
        <v>0</v>
      </c>
    </row>
    <row r="35" spans="1:11" s="1" customFormat="1" ht="37.5" customHeight="1">
      <c r="A35" s="388" t="s">
        <v>258</v>
      </c>
      <c s="320">
        <f>+'OAI '!D35</f>
        <v>0</v>
      </c>
      <c s="346" t="s">
        <v>259</v>
      </c>
      <c s="759">
        <f>+'OAI '!D35</f>
        <v>0</v>
      </c>
      <c s="341"/>
      <c s="342"/>
      <c s="322"/>
      <c s="758"/>
      <c s="185"/>
      <c s="762">
        <v>0</v>
      </c>
      <c s="701"/>
    </row>
    <row r="36" spans="1:11" s="1" customFormat="1" ht="37.5" customHeight="1">
      <c r="A36" s="388" t="s">
        <v>327</v>
      </c>
      <c s="320">
        <f>+'OAI '!D36</f>
        <v>0</v>
      </c>
      <c s="346" t="s">
        <v>393</v>
      </c>
      <c s="759">
        <f>+'OAI '!D36</f>
        <v>0</v>
      </c>
      <c s="341"/>
      <c s="342"/>
      <c s="322"/>
      <c s="758"/>
      <c s="185"/>
      <c s="762">
        <v>0</v>
      </c>
      <c s="701"/>
    </row>
    <row r="37" spans="1:11" s="1" customFormat="1" ht="37.5" customHeight="1">
      <c r="A37" s="388" t="s">
        <v>441</v>
      </c>
      <c s="320">
        <f>+'OAI '!D38</f>
        <v>0</v>
      </c>
      <c s="1302" t="s">
        <v>442</v>
      </c>
      <c s="759">
        <f>+'OAI '!D38</f>
        <v>0</v>
      </c>
      <c s="341"/>
      <c s="342"/>
      <c s="322"/>
      <c s="758"/>
      <c s="185"/>
      <c s="762">
        <v>0</v>
      </c>
      <c s="701"/>
    </row>
    <row r="38" spans="1:11" s="1" customFormat="1" ht="46.5" customHeight="1">
      <c r="A38" s="388" t="s">
        <v>260</v>
      </c>
      <c s="320">
        <f>+'OAI '!D39</f>
        <v>0</v>
      </c>
      <c s="346" t="s">
        <v>261</v>
      </c>
      <c s="759">
        <f>+'OAI '!D39</f>
        <v>0</v>
      </c>
      <c s="341"/>
      <c s="342"/>
      <c s="322"/>
      <c s="758"/>
      <c s="185"/>
      <c s="762">
        <v>0</v>
      </c>
      <c s="701"/>
    </row>
    <row r="39" spans="1:11" s="1" customFormat="1" ht="30" customHeight="1">
      <c r="A39" s="388" t="s">
        <v>262</v>
      </c>
      <c s="320">
        <f>+'OAI '!D40</f>
        <v>0</v>
      </c>
      <c s="346" t="s">
        <v>263</v>
      </c>
      <c s="759">
        <f>+'OAI '!D40</f>
        <v>0</v>
      </c>
      <c s="341"/>
      <c s="342"/>
      <c s="322"/>
      <c s="758"/>
      <c s="185"/>
      <c s="762">
        <v>0</v>
      </c>
      <c s="701"/>
    </row>
    <row r="40" spans="1:11" s="1" customFormat="1" ht="30" customHeight="1">
      <c r="A40" s="388" t="s">
        <v>264</v>
      </c>
      <c s="320">
        <f>+'OAI '!D41</f>
        <v>0</v>
      </c>
      <c s="347" t="s">
        <v>265</v>
      </c>
      <c s="759">
        <f>+'OAI '!D41</f>
        <v>0</v>
      </c>
      <c s="341"/>
      <c s="342"/>
      <c s="322"/>
      <c s="758"/>
      <c s="185"/>
      <c s="762">
        <v>0</v>
      </c>
      <c s="701"/>
    </row>
    <row r="41" spans="1:11" s="1" customFormat="1" ht="30" customHeight="1">
      <c r="A41" s="388" t="s">
        <v>266</v>
      </c>
      <c s="320">
        <f>+'OAI '!D42</f>
        <v>0</v>
      </c>
      <c s="347" t="s">
        <v>267</v>
      </c>
      <c s="759">
        <f>+'OAI '!D42</f>
        <v>0</v>
      </c>
      <c s="341"/>
      <c s="342"/>
      <c s="322"/>
      <c s="758"/>
      <c s="185"/>
      <c s="762">
        <v>0</v>
      </c>
      <c s="701"/>
    </row>
    <row r="42" spans="1:11" s="1" customFormat="1" ht="30" customHeight="1">
      <c r="A42" s="388" t="s">
        <v>268</v>
      </c>
      <c s="320">
        <f>+'OAI '!D43</f>
        <v>0</v>
      </c>
      <c s="347" t="s">
        <v>269</v>
      </c>
      <c s="759">
        <f>+'OAI '!D43</f>
        <v>0</v>
      </c>
      <c s="341"/>
      <c s="342"/>
      <c s="322"/>
      <c s="758"/>
      <c s="185"/>
      <c s="762">
        <v>0</v>
      </c>
      <c s="701"/>
    </row>
    <row r="43" spans="1:11" s="1" customFormat="1" ht="33" customHeight="1">
      <c r="A43" s="388" t="s">
        <v>270</v>
      </c>
      <c s="320">
        <f>+'OAI '!D44</f>
        <v>0</v>
      </c>
      <c s="347" t="s">
        <v>271</v>
      </c>
      <c s="759">
        <f>+'OAI '!D44</f>
        <v>0</v>
      </c>
      <c s="341"/>
      <c s="342"/>
      <c s="322"/>
      <c s="758"/>
      <c s="185"/>
      <c s="762">
        <v>0</v>
      </c>
      <c s="701"/>
    </row>
    <row r="44" spans="1:11" s="1" customFormat="1" ht="39" customHeight="1">
      <c r="A44" s="388" t="s">
        <v>272</v>
      </c>
      <c s="320">
        <f>+'OAI '!D45</f>
        <v>0</v>
      </c>
      <c s="347" t="s">
        <v>303</v>
      </c>
      <c s="759">
        <f>+'OAI '!D45</f>
        <v>0</v>
      </c>
      <c s="341"/>
      <c s="342"/>
      <c s="322"/>
      <c s="758"/>
      <c s="185"/>
      <c s="762">
        <v>0</v>
      </c>
      <c s="701"/>
    </row>
    <row r="45" spans="1:11" s="1" customFormat="1" ht="30" customHeight="1" thickBot="1">
      <c r="A45" s="388" t="s">
        <v>274</v>
      </c>
      <c s="320">
        <f>+'OAI '!D46</f>
        <v>0</v>
      </c>
      <c s="347" t="s">
        <v>275</v>
      </c>
      <c s="759">
        <f>+'OAI '!D46</f>
        <v>0</v>
      </c>
      <c s="703"/>
      <c s="704"/>
      <c s="705"/>
      <c s="361"/>
      <c s="190"/>
      <c s="763">
        <v>0</v>
      </c>
      <c s="706"/>
    </row>
    <row r="46" spans="1:21" ht="41.25" customHeight="1">
      <c r="A46" s="195" t="s">
        <v>246</v>
      </c>
      <c s="286">
        <f>SUM(B10:B45)</f>
        <v>6315</v>
      </c>
      <c s="1483" t="s">
        <v>182</v>
      </c>
      <c s="1483"/>
      <c s="394"/>
      <c s="395"/>
      <c s="394">
        <f>SUM(G10:G45)</f>
        <v>12413630</v>
      </c>
      <c s="394">
        <f>SUM(H10:H45)</f>
        <v>7648814.25</v>
      </c>
      <c s="394">
        <f>SUM(I10:I45)</f>
        <v>4146475</v>
      </c>
      <c s="394">
        <f>SUM(J10:J45)</f>
        <v>308000</v>
      </c>
      <c s="394">
        <f>SUM(K10:K45)</f>
        <v>310340.75</v>
      </c>
      <c s="251"/>
      <c s="251"/>
      <c s="181">
        <v>0</v>
      </c>
      <c s="251"/>
      <c s="251"/>
      <c s="251"/>
      <c s="251"/>
      <c s="251"/>
      <c s="251"/>
      <c s="251"/>
    </row>
    <row r="47" spans="3:14" ht="34.5" customHeight="1">
      <c r="C47" s="180"/>
      <c r="H47" s="525"/>
      <c s="525"/>
      <c r="N47" s="485">
        <v>0</v>
      </c>
    </row>
    <row r="48" spans="2:14" ht="53.25" customHeight="1" hidden="1">
      <c r="B48" s="176"/>
      <c s="1484" t="s">
        <v>466</v>
      </c>
      <c s="1485"/>
      <c s="283"/>
      <c s="283">
        <v>0</v>
      </c>
      <c s="284">
        <v>0</v>
      </c>
      <c s="674"/>
      <c s="674"/>
      <c s="284"/>
      <c s="284"/>
      <c r="N48" s="485" t="e">
        <f>#REF!</f>
        <v>#REF!</v>
      </c>
    </row>
    <row r="49" spans="2:14" ht="37.5" customHeight="1" hidden="1">
      <c r="B49" s="176"/>
      <c s="1486" t="s">
        <v>469</v>
      </c>
      <c s="1486"/>
      <c s="741"/>
      <c s="271"/>
      <c s="252"/>
      <c s="310"/>
      <c s="310"/>
      <c s="284"/>
      <c s="284"/>
      <c r="N49" s="485"/>
    </row>
    <row r="50" spans="2:14" ht="43.5" customHeight="1" hidden="1">
      <c r="B50" s="176"/>
      <c s="1486" t="s">
        <v>474</v>
      </c>
      <c s="1486"/>
      <c s="741"/>
      <c s="271"/>
      <c s="252"/>
      <c s="310"/>
      <c s="310"/>
      <c s="284"/>
      <c s="284"/>
      <c r="N50" s="485"/>
    </row>
    <row r="51" spans="2:14" ht="35.25" customHeight="1" hidden="1">
      <c r="B51" s="176"/>
      <c s="1484" t="s">
        <v>465</v>
      </c>
      <c s="1485"/>
      <c s="283"/>
      <c s="283">
        <v>0</v>
      </c>
      <c s="252"/>
      <c s="310"/>
      <c s="310"/>
      <c s="284"/>
      <c s="284"/>
      <c r="N51" s="485" t="e">
        <f>#REF!</f>
        <v>#REF!</v>
      </c>
    </row>
    <row r="52" spans="2:14" ht="42.75" customHeight="1" hidden="1">
      <c r="B52" s="176"/>
      <c s="1484" t="s">
        <v>475</v>
      </c>
      <c s="1485"/>
      <c s="283"/>
      <c s="283"/>
      <c s="252"/>
      <c s="310"/>
      <c s="310"/>
      <c s="284"/>
      <c s="284"/>
      <c r="N52" s="485"/>
    </row>
    <row r="53" spans="2:14" ht="0.75" customHeight="1" hidden="1">
      <c r="B53" s="176"/>
      <c s="1484" t="s">
        <v>468</v>
      </c>
      <c s="1485"/>
      <c s="283"/>
      <c s="283"/>
      <c s="252"/>
      <c s="310"/>
      <c s="310"/>
      <c s="284"/>
      <c s="284"/>
      <c r="N53" s="485"/>
    </row>
    <row r="54" spans="2:14" ht="44.25" customHeight="1" hidden="1">
      <c r="B54" s="176"/>
      <c s="1484" t="s">
        <v>476</v>
      </c>
      <c s="1485"/>
      <c s="283"/>
      <c s="283"/>
      <c s="284"/>
      <c s="674"/>
      <c s="674"/>
      <c s="284"/>
      <c s="284"/>
      <c r="N54" s="485"/>
    </row>
    <row r="55" spans="3:14" ht="40.5" customHeight="1" thickBot="1">
      <c r="C55" s="1483" t="s">
        <v>127</v>
      </c>
      <c s="1483"/>
      <c s="272"/>
      <c s="534"/>
      <c s="253">
        <f>+G46-G48-G51</f>
        <v>12413630</v>
      </c>
      <c s="253">
        <f>H46+H48</f>
        <v>7648814.25</v>
      </c>
      <c s="253">
        <f>I46+I48</f>
        <v>4146475</v>
      </c>
      <c s="253">
        <f>J46+J48</f>
        <v>308000</v>
      </c>
      <c s="253">
        <f>K46+K48</f>
        <v>310340.75</v>
      </c>
      <c r="N55" s="487">
        <f>H55</f>
        <v>7648814.25</v>
      </c>
    </row>
    <row r="56" spans="3:14" ht="16.5" customHeight="1" thickTop="1">
      <c r="C56" s="1487"/>
      <c s="1487"/>
      <c s="1487"/>
      <c s="1487"/>
      <c s="1487"/>
      <c s="1487"/>
      <c s="1487"/>
      <c s="1487"/>
      <c s="304"/>
      <c r="N56" s="649"/>
    </row>
    <row r="57" spans="3:14" ht="15.75" customHeight="1">
      <c r="C57" s="149"/>
      <c s="680"/>
      <c s="680"/>
      <c s="680"/>
      <c s="680"/>
      <c s="680"/>
      <c s="680"/>
      <c s="680"/>
      <c s="304"/>
      <c r="N57" s="649"/>
    </row>
    <row r="58" spans="3:14" ht="15.75" customHeight="1">
      <c r="C58" s="149"/>
      <c s="680"/>
      <c s="680"/>
      <c s="680"/>
      <c s="680"/>
      <c s="680"/>
      <c s="680"/>
      <c s="680"/>
      <c s="304"/>
      <c r="N58" s="649"/>
    </row>
    <row r="59" spans="3:14" ht="15.75" customHeight="1">
      <c r="C59" s="149"/>
      <c s="680"/>
      <c s="680"/>
      <c s="680"/>
      <c s="680"/>
      <c s="680"/>
      <c s="680"/>
      <c s="680"/>
      <c s="304"/>
      <c r="N59" s="649"/>
    </row>
    <row r="60" spans="3:14" ht="15.75" customHeight="1">
      <c r="C60" s="149"/>
      <c s="680"/>
      <c s="680"/>
      <c s="680"/>
      <c s="680"/>
      <c s="680"/>
      <c s="680"/>
      <c s="680"/>
      <c s="304"/>
      <c r="N60" s="649"/>
    </row>
    <row r="61" spans="3:14" ht="15.75" customHeight="1">
      <c r="C61" s="149"/>
      <c s="680"/>
      <c s="680"/>
      <c s="680"/>
      <c s="680"/>
      <c s="680"/>
      <c s="680"/>
      <c s="680"/>
      <c s="304"/>
      <c r="N61" s="649"/>
    </row>
    <row r="62" spans="2:14" ht="15.75" customHeight="1">
      <c r="B62" s="316" t="s">
        <v>60</v>
      </c>
      <c r="D62" s="149"/>
      <c s="305"/>
      <c s="304"/>
      <c s="304"/>
      <c s="304"/>
      <c s="304"/>
      <c s="304"/>
      <c s="304"/>
      <c r="N62" s="483" t="e">
        <f>SUM(N47:N55)</f>
        <v>#REF!</v>
      </c>
    </row>
    <row r="63" spans="1:12" s="1" customFormat="1" ht="22.5" customHeight="1">
      <c r="A63" s="49"/>
      <c s="49"/>
      <c s="431" t="s">
        <v>413</v>
      </c>
      <c s="435"/>
      <c s="431"/>
      <c s="431"/>
      <c s="241"/>
      <c s="431" t="s">
        <v>754</v>
      </c>
      <c s="544"/>
      <c s="435"/>
      <c s="434"/>
      <c s="431"/>
    </row>
    <row r="64" spans="1:12" s="0" customFormat="1" ht="18">
      <c r="A64" s="3"/>
      <c s="50"/>
      <c s="433" t="s">
        <v>330</v>
      </c>
      <c s="437"/>
      <c s="432"/>
      <c s="432"/>
      <c s="154"/>
      <c s="432" t="s">
        <v>364</v>
      </c>
      <c s="542"/>
      <c s="154"/>
      <c s="436"/>
      <c s="432"/>
    </row>
    <row r="65" spans="1:12" s="53" customFormat="1" ht="18">
      <c r="A65" s="51"/>
      <c s="52"/>
      <c s="433"/>
      <c s="436"/>
      <c s="433"/>
      <c s="433"/>
      <c r="H65" s="1303" t="s">
        <v>755</v>
      </c>
      <c s="432"/>
      <c s="53" t="s">
        <v>60</v>
      </c>
      <c s="51"/>
      <c s="433"/>
    </row>
    <row r="66" spans="7:9" ht="18">
      <c r="G66" s="289"/>
      <c r="I66" s="154" t="s">
        <v>60</v>
      </c>
    </row>
    <row r="67" spans="8:8" ht="12.75">
      <c r="H67" s="172"/>
    </row>
    <row r="68" spans="8:8" ht="12.75">
      <c r="H68" s="172"/>
    </row>
    <row r="69" spans="10:10" ht="12.75">
      <c r="J69" s="172"/>
    </row>
    <row r="70" spans="3:3" ht="18.75">
      <c r="C70" s="500"/>
    </row>
    <row r="72" spans="7:7" ht="12.75">
      <c r="G72" s="172"/>
    </row>
    <row r="75" spans="5:5" ht="18">
      <c r="E75" s="191"/>
    </row>
    <row r="76" spans="5:5" ht="18">
      <c r="E76" s="191"/>
    </row>
    <row r="77" spans="5:5" ht="18">
      <c r="E77" s="191"/>
    </row>
    <row r="78" spans="5:5" ht="18">
      <c r="E78" s="191"/>
    </row>
    <row r="79" spans="5:5" ht="18">
      <c r="E79" s="191"/>
    </row>
    <row r="80" spans="5:5" ht="18">
      <c r="E80" s="191"/>
    </row>
    <row r="81" spans="5:5" ht="18">
      <c r="E81" s="191"/>
    </row>
    <row r="82" spans="5:5" ht="18">
      <c r="E82" s="191"/>
    </row>
    <row r="83" spans="5:5" ht="18">
      <c r="E83" s="191"/>
    </row>
  </sheetData>
  <mergeCells count="20">
    <mergeCell ref="A2:K2"/>
    <mergeCell ref="A3:K3"/>
    <mergeCell ref="A4:K4"/>
    <mergeCell ref="A5:K5"/>
    <mergeCell ref="A6:K6"/>
    <mergeCell ref="A7:E7"/>
    <mergeCell ref="H7:K7"/>
    <mergeCell ref="A8:A9"/>
    <mergeCell ref="B8:B9"/>
    <mergeCell ref="H8:K8"/>
    <mergeCell ref="C46:D46"/>
    <mergeCell ref="C54:D54"/>
    <mergeCell ref="C55:D55"/>
    <mergeCell ref="C56:J56"/>
    <mergeCell ref="C48:D48"/>
    <mergeCell ref="C49:D49"/>
    <mergeCell ref="C50:D50"/>
    <mergeCell ref="C51:D51"/>
    <mergeCell ref="C52:D52"/>
    <mergeCell ref="C53:D53"/>
  </mergeCells>
  <pageMargins left="0.708661417322835" right="0.708661417322835" top="0.748031496062992" bottom="0.748031496062992" header="0.31496062992126" footer="0.31496062992126"/>
  <pageSetup orientation="portrait" paperSize="9" scale="40" r:id="rId2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U63"/>
  <sheetViews>
    <sheetView workbookViewId="0" topLeftCell="A1">
      <selection pane="topLeft" activeCell="M44" sqref="M44"/>
    </sheetView>
  </sheetViews>
  <sheetFormatPr defaultColWidth="20.8542857142857" defaultRowHeight="12.75"/>
  <cols>
    <col min="1" max="1" width="7.57142857142857" style="154" customWidth="1"/>
    <col min="2" max="2" width="10.8571428571429" style="154" customWidth="1"/>
    <col min="3" max="3" width="49.4285714285714" style="154" customWidth="1"/>
    <col min="4" max="4" width="21.5714285714286" style="154" customWidth="1"/>
    <col min="5" max="5" width="22.5714285714286" style="154" customWidth="1"/>
    <col min="6" max="6" width="22.5714285714286" style="154" hidden="1" customWidth="1"/>
    <col min="7" max="7" width="21.2857142857143" style="154" customWidth="1"/>
    <col min="8" max="8" width="24.1428571428571" style="154" customWidth="1"/>
    <col min="9" max="9" width="20.2857142857143" style="154" customWidth="1"/>
    <col min="10" max="11" width="20.8571428571429" style="154" hidden="1" customWidth="1"/>
    <col min="12" max="16384" width="20.8571428571429" style="154"/>
  </cols>
  <sheetData>
    <row r="1" spans="1:11" ht="54" customHeight="1">
      <c r="A1" s="324" t="s">
        <v>60</v>
      </c>
      <c s="324"/>
      <c s="324"/>
      <c s="324"/>
      <c s="324"/>
      <c s="324"/>
      <c s="324"/>
      <c s="324"/>
      <c s="324"/>
      <c s="324"/>
      <c s="324"/>
    </row>
    <row r="2" spans="1:11" ht="30">
      <c r="A2" s="1468" t="s">
        <v>58</v>
      </c>
      <c s="1468"/>
      <c s="1468"/>
      <c s="1468"/>
      <c s="1468"/>
      <c s="1468"/>
      <c s="1468"/>
      <c s="1468"/>
      <c s="1468"/>
      <c s="1468"/>
      <c s="1468"/>
    </row>
    <row r="3" spans="1:11" ht="26.25">
      <c r="A3" s="1469" t="s">
        <v>374</v>
      </c>
      <c s="1469"/>
      <c s="1469"/>
      <c s="1469"/>
      <c s="1469"/>
      <c s="1469"/>
      <c s="1469"/>
      <c s="1469"/>
      <c s="1469"/>
      <c s="1469"/>
      <c s="1469"/>
    </row>
    <row r="4" spans="1:11" ht="15.75">
      <c r="A4" s="1529" t="str">
        <f>+'OAI '!A5:T5</f>
        <v>Reportes de los Ingresos según Ley No. 36 y Resolución No. 02-05; 02-06 de los Cobros BanReservas , Caja General y SIRITE al 31/03/2025</v>
      </c>
      <c s="1529"/>
      <c s="1529"/>
      <c s="1529"/>
      <c s="1529"/>
      <c s="1529"/>
      <c s="1529"/>
      <c s="1529"/>
      <c s="1529"/>
      <c s="1529"/>
      <c s="1529"/>
    </row>
    <row r="5" spans="1:11" ht="20.25">
      <c r="A5" s="1470" t="s">
        <v>375</v>
      </c>
      <c s="1470"/>
      <c s="1470"/>
      <c s="1470"/>
      <c s="1470"/>
      <c s="1470"/>
      <c s="1470"/>
      <c s="1470"/>
      <c s="1470"/>
      <c s="1470"/>
      <c s="1470"/>
    </row>
    <row r="6" spans="1:10" ht="13.5" thickBot="1">
      <c r="A6" s="1471"/>
      <c s="1471"/>
      <c s="1471"/>
      <c s="1471"/>
      <c s="1471"/>
      <c s="1471"/>
      <c s="1471"/>
      <c s="1471"/>
      <c s="1471"/>
      <c s="1471"/>
    </row>
    <row r="7" spans="1:11" ht="17.25" customHeight="1" thickBot="1">
      <c r="A7" s="1523" t="s">
        <v>38</v>
      </c>
      <c s="1527" t="s">
        <v>277</v>
      </c>
      <c s="707"/>
      <c s="707"/>
      <c s="695"/>
      <c s="722"/>
      <c s="721"/>
      <c s="1525" t="s">
        <v>168</v>
      </c>
      <c s="1526"/>
      <c s="737"/>
      <c s="697"/>
    </row>
    <row r="8" spans="1:11" ht="54.75" thickBot="1">
      <c r="A8" s="1524"/>
      <c s="1528"/>
      <c s="720" t="s">
        <v>40</v>
      </c>
      <c s="404" t="s">
        <v>480</v>
      </c>
      <c s="719" t="s">
        <v>481</v>
      </c>
      <c s="719" t="s">
        <v>479</v>
      </c>
      <c s="719" t="s">
        <v>482</v>
      </c>
      <c s="719" t="s">
        <v>278</v>
      </c>
      <c s="718" t="s">
        <v>279</v>
      </c>
      <c s="422"/>
      <c s="366"/>
    </row>
    <row r="9" spans="1:11" ht="18">
      <c r="A9" s="727" t="s">
        <v>42</v>
      </c>
      <c s="726">
        <f>+'OAI '!B10</f>
        <v>85</v>
      </c>
      <c s="573" t="s">
        <v>0</v>
      </c>
      <c s="725">
        <v>6240</v>
      </c>
      <c s="700">
        <v>2200</v>
      </c>
      <c s="391"/>
      <c s="724">
        <v>800</v>
      </c>
      <c s="188">
        <f>+B9*2200</f>
        <v>187000</v>
      </c>
      <c s="723">
        <f>B9*800</f>
        <v>68000</v>
      </c>
      <c s="736"/>
      <c s="245"/>
    </row>
    <row r="10" spans="1:11" s="177" customFormat="1" ht="36">
      <c r="A10" s="735" t="s">
        <v>43</v>
      </c>
      <c s="726">
        <f>+'OAI '!B11</f>
        <v>92</v>
      </c>
      <c s="398" t="s">
        <v>176</v>
      </c>
      <c s="693">
        <v>11240</v>
      </c>
      <c s="702">
        <v>2200</v>
      </c>
      <c s="245"/>
      <c s="713">
        <v>800</v>
      </c>
      <c s="188">
        <f>+B10*2200</f>
        <v>202400</v>
      </c>
      <c s="723">
        <f>B10*800</f>
        <v>73600</v>
      </c>
      <c s="736"/>
      <c s="245"/>
    </row>
    <row r="11" spans="1:11" s="177" customFormat="1" ht="18">
      <c r="A11" s="735" t="s">
        <v>45</v>
      </c>
      <c s="726">
        <f>+'OAI '!B12</f>
        <v>4950</v>
      </c>
      <c s="398" t="s">
        <v>177</v>
      </c>
      <c s="693">
        <v>4940</v>
      </c>
      <c s="702">
        <v>2200</v>
      </c>
      <c s="245"/>
      <c s="713"/>
      <c s="188">
        <f>+B11*2200</f>
        <v>10890000</v>
      </c>
      <c s="701"/>
      <c s="736"/>
      <c s="245"/>
    </row>
    <row r="12" spans="1:11" s="177" customFormat="1" ht="54">
      <c r="A12" s="735" t="s">
        <v>47</v>
      </c>
      <c s="726">
        <f>+'OAI '!B13</f>
        <v>0</v>
      </c>
      <c s="398" t="s">
        <v>178</v>
      </c>
      <c s="693">
        <v>4615</v>
      </c>
      <c s="702">
        <v>2075</v>
      </c>
      <c s="245"/>
      <c s="713"/>
      <c s="185"/>
      <c s="701">
        <f>B12*800</f>
        <v>0</v>
      </c>
      <c s="736"/>
      <c s="245"/>
    </row>
    <row r="13" spans="1:11" s="177" customFormat="1" ht="36">
      <c r="A13" s="735" t="s">
        <v>49</v>
      </c>
      <c s="726">
        <f>+'OAI '!B14</f>
        <v>0</v>
      </c>
      <c s="398" t="s">
        <v>179</v>
      </c>
      <c s="693">
        <v>2840</v>
      </c>
      <c s="702">
        <f>B13*D13</f>
        <v>0</v>
      </c>
      <c s="245"/>
      <c s="713"/>
      <c s="185"/>
      <c s="701">
        <f>B13*800</f>
        <v>0</v>
      </c>
      <c s="736"/>
      <c s="245"/>
    </row>
    <row r="14" spans="1:11" s="177" customFormat="1" ht="18">
      <c r="A14" s="735" t="s">
        <v>51</v>
      </c>
      <c s="726">
        <f>+'OAI '!B15</f>
        <v>30</v>
      </c>
      <c s="398" t="s">
        <v>1</v>
      </c>
      <c s="693">
        <v>500</v>
      </c>
      <c s="702"/>
      <c s="245"/>
      <c s="713"/>
      <c s="185"/>
      <c s="701"/>
      <c s="736"/>
      <c s="321"/>
    </row>
    <row r="15" spans="1:11" s="177" customFormat="1" ht="36">
      <c r="A15" s="735" t="s">
        <v>52</v>
      </c>
      <c s="726">
        <f>+'OAI '!B16</f>
        <v>0</v>
      </c>
      <c s="398" t="s">
        <v>180</v>
      </c>
      <c s="693">
        <v>2840</v>
      </c>
      <c s="702">
        <f>B15*D15</f>
        <v>0</v>
      </c>
      <c s="245"/>
      <c s="713"/>
      <c s="185"/>
      <c s="701"/>
      <c s="736"/>
      <c s="321"/>
    </row>
    <row r="16" spans="1:11" s="177" customFormat="1" ht="18">
      <c r="A16" s="735" t="s">
        <v>54</v>
      </c>
      <c s="726">
        <f>+'OAI '!B17</f>
        <v>77</v>
      </c>
      <c s="398" t="s">
        <v>3</v>
      </c>
      <c s="693">
        <v>700</v>
      </c>
      <c s="702"/>
      <c s="245"/>
      <c s="713"/>
      <c s="185"/>
      <c s="701"/>
      <c s="736"/>
      <c s="321"/>
    </row>
    <row r="17" spans="1:11" s="177" customFormat="1" ht="18">
      <c r="A17" s="735" t="s">
        <v>55</v>
      </c>
      <c s="726">
        <f>+'OAI '!B18</f>
        <v>4514</v>
      </c>
      <c s="399" t="s">
        <v>138</v>
      </c>
      <c s="693">
        <v>700</v>
      </c>
      <c s="702"/>
      <c s="245"/>
      <c s="713"/>
      <c s="185"/>
      <c s="701"/>
      <c s="736"/>
      <c s="321"/>
    </row>
    <row r="18" spans="1:11" s="177" customFormat="1" ht="18">
      <c r="A18" s="735" t="s">
        <v>133</v>
      </c>
      <c s="726">
        <f>+'OAI '!B19</f>
        <v>3</v>
      </c>
      <c s="399" t="s">
        <v>139</v>
      </c>
      <c s="694">
        <v>4615</v>
      </c>
      <c s="702">
        <v>2075</v>
      </c>
      <c s="245"/>
      <c s="713"/>
      <c s="185">
        <f>+B18*E18</f>
        <v>6225</v>
      </c>
      <c s="701">
        <f>B18*800</f>
        <v>2400</v>
      </c>
      <c s="736"/>
      <c s="321"/>
    </row>
    <row r="19" spans="1:11" s="1" customFormat="1" ht="18">
      <c r="A19" s="735" t="s">
        <v>134</v>
      </c>
      <c s="726">
        <f>+'OAI '!B20</f>
        <v>53</v>
      </c>
      <c s="399" t="s">
        <v>140</v>
      </c>
      <c s="694">
        <v>4615</v>
      </c>
      <c s="702">
        <v>2075</v>
      </c>
      <c s="245"/>
      <c s="713">
        <v>800</v>
      </c>
      <c s="185">
        <f>+B19*E19</f>
        <v>109975</v>
      </c>
      <c s="701">
        <f>B19*800</f>
        <v>42400</v>
      </c>
      <c s="736"/>
      <c s="321"/>
    </row>
    <row r="20" spans="1:11" s="1" customFormat="1" ht="18">
      <c r="A20" s="735" t="s">
        <v>135</v>
      </c>
      <c s="726">
        <f>+'OAI '!B21</f>
        <v>153</v>
      </c>
      <c s="399" t="s">
        <v>141</v>
      </c>
      <c s="694">
        <v>4615</v>
      </c>
      <c s="702">
        <v>2075</v>
      </c>
      <c s="245"/>
      <c s="713">
        <v>800</v>
      </c>
      <c s="185">
        <f>+B20*E20</f>
        <v>317475</v>
      </c>
      <c s="701">
        <f>B20*800</f>
        <v>122400</v>
      </c>
      <c s="736"/>
      <c s="321"/>
    </row>
    <row r="21" spans="1:11" s="1" customFormat="1" ht="18">
      <c r="A21" s="735" t="s">
        <v>136</v>
      </c>
      <c s="726">
        <f>+'OAI '!B22</f>
        <v>203</v>
      </c>
      <c s="399" t="s">
        <v>142</v>
      </c>
      <c s="694">
        <v>700</v>
      </c>
      <c s="702">
        <v>0</v>
      </c>
      <c s="245"/>
      <c s="713"/>
      <c s="185"/>
      <c s="701"/>
      <c s="736"/>
      <c s="321"/>
    </row>
    <row r="22" spans="1:11" s="1" customFormat="1" ht="18">
      <c r="A22" s="735" t="s">
        <v>137</v>
      </c>
      <c s="726">
        <f>+'OAI '!B23</f>
        <v>0</v>
      </c>
      <c s="399" t="s">
        <v>143</v>
      </c>
      <c s="694">
        <v>6240</v>
      </c>
      <c s="185">
        <v>2200</v>
      </c>
      <c s="245"/>
      <c s="713"/>
      <c s="185"/>
      <c s="701">
        <f>B22*800</f>
        <v>0</v>
      </c>
      <c s="736"/>
      <c s="321"/>
    </row>
    <row r="23" spans="1:11" s="1" customFormat="1" ht="18">
      <c r="A23" s="735" t="s">
        <v>244</v>
      </c>
      <c s="320">
        <v>0</v>
      </c>
      <c s="399" t="s">
        <v>245</v>
      </c>
      <c s="694">
        <v>105</v>
      </c>
      <c s="185"/>
      <c s="245"/>
      <c s="713"/>
      <c s="185"/>
      <c s="701"/>
      <c s="736"/>
      <c s="321"/>
    </row>
    <row r="24" spans="1:11" s="1" customFormat="1" ht="37.5">
      <c r="A24" s="734" t="s">
        <v>248</v>
      </c>
      <c s="343">
        <v>0</v>
      </c>
      <c s="347" t="s">
        <v>249</v>
      </c>
      <c s="759">
        <f>+'OAI '!F25</f>
        <v>5000</v>
      </c>
      <c s="762"/>
      <c s="245"/>
      <c s="713"/>
      <c s="185"/>
      <c s="764"/>
      <c s="341"/>
      <c s="342"/>
    </row>
    <row r="25" spans="1:11" s="1" customFormat="1" ht="18.75">
      <c r="A25" s="733" t="s">
        <v>250</v>
      </c>
      <c s="344">
        <v>0</v>
      </c>
      <c s="345" t="s">
        <v>251</v>
      </c>
      <c s="759">
        <f>+'OAI '!F26</f>
        <v>1500</v>
      </c>
      <c s="762">
        <f>B25*D25</f>
        <v>0</v>
      </c>
      <c s="245"/>
      <c s="713"/>
      <c s="185"/>
      <c s="764">
        <f>B25*800</f>
        <v>0</v>
      </c>
      <c s="341"/>
      <c s="342"/>
    </row>
    <row r="26" spans="1:11" s="1" customFormat="1" ht="18.75">
      <c r="A26" s="733" t="s">
        <v>252</v>
      </c>
      <c s="343">
        <v>0</v>
      </c>
      <c s="346" t="s">
        <v>253</v>
      </c>
      <c s="759">
        <f>+'OAI '!F27</f>
        <v>1500</v>
      </c>
      <c s="762">
        <f>B26*D26</f>
        <v>0</v>
      </c>
      <c s="245"/>
      <c s="713"/>
      <c s="185"/>
      <c s="764">
        <f>B26*800</f>
        <v>0</v>
      </c>
      <c s="341"/>
      <c s="342"/>
    </row>
    <row r="27" spans="1:11" s="1" customFormat="1" ht="18.75">
      <c r="A27" s="733" t="s">
        <v>314</v>
      </c>
      <c s="343">
        <v>0</v>
      </c>
      <c s="346" t="s">
        <v>315</v>
      </c>
      <c s="759">
        <f>+'OAI '!F28</f>
        <v>1500</v>
      </c>
      <c s="762"/>
      <c s="245"/>
      <c s="713"/>
      <c s="185"/>
      <c s="764"/>
      <c s="341"/>
      <c s="342"/>
    </row>
    <row r="28" spans="1:11" s="1" customFormat="1" ht="37.5">
      <c r="A28" s="734" t="s">
        <v>298</v>
      </c>
      <c s="344">
        <v>0</v>
      </c>
      <c s="715" t="s">
        <v>299</v>
      </c>
      <c s="759">
        <f>+'OAI '!F29</f>
        <v>1500</v>
      </c>
      <c s="762"/>
      <c s="245"/>
      <c s="713"/>
      <c s="185"/>
      <c s="764"/>
      <c s="341"/>
      <c s="342"/>
    </row>
    <row r="29" spans="1:11" s="1" customFormat="1" ht="38.25" customHeight="1">
      <c r="A29" s="734" t="s">
        <v>323</v>
      </c>
      <c s="344">
        <v>0</v>
      </c>
      <c s="1302" t="s">
        <v>391</v>
      </c>
      <c s="759">
        <f>+'OAI '!F30</f>
        <v>3000</v>
      </c>
      <c s="762"/>
      <c s="245"/>
      <c s="713"/>
      <c s="185"/>
      <c s="764"/>
      <c s="341"/>
      <c s="342"/>
    </row>
    <row r="30" spans="1:11" s="1" customFormat="1" ht="36.75" customHeight="1">
      <c r="A30" s="734" t="s">
        <v>325</v>
      </c>
      <c s="344">
        <v>0</v>
      </c>
      <c s="1302" t="s">
        <v>392</v>
      </c>
      <c s="759">
        <f>+'OAI '!F31</f>
        <v>5000</v>
      </c>
      <c s="762"/>
      <c s="245"/>
      <c s="713"/>
      <c s="185"/>
      <c s="764"/>
      <c s="341"/>
      <c s="342"/>
    </row>
    <row r="31" spans="1:11" s="1" customFormat="1" ht="37.5">
      <c r="A31" s="733" t="s">
        <v>319</v>
      </c>
      <c s="343">
        <v>0</v>
      </c>
      <c s="346" t="s">
        <v>320</v>
      </c>
      <c s="759">
        <f>+'OAI '!F32</f>
        <v>1000</v>
      </c>
      <c s="762"/>
      <c s="245"/>
      <c s="713"/>
      <c s="185"/>
      <c s="764"/>
      <c s="341"/>
      <c s="342"/>
    </row>
    <row r="32" spans="1:11" s="1" customFormat="1" ht="18.75">
      <c r="A32" s="733" t="s">
        <v>254</v>
      </c>
      <c s="343">
        <v>0</v>
      </c>
      <c s="346" t="s">
        <v>255</v>
      </c>
      <c s="759">
        <f>+'OAI '!F33</f>
        <v>50</v>
      </c>
      <c s="762"/>
      <c s="245"/>
      <c s="713"/>
      <c s="185"/>
      <c s="764"/>
      <c s="341"/>
      <c s="342"/>
    </row>
    <row r="33" spans="1:11" s="1" customFormat="1" ht="18.75">
      <c r="A33" s="733" t="s">
        <v>256</v>
      </c>
      <c s="343">
        <v>0</v>
      </c>
      <c s="346" t="s">
        <v>257</v>
      </c>
      <c s="759">
        <f>+'OAI '!F34</f>
        <v>1000</v>
      </c>
      <c s="762"/>
      <c s="245"/>
      <c s="713"/>
      <c s="185"/>
      <c s="764"/>
      <c s="341"/>
      <c s="342"/>
    </row>
    <row r="34" spans="1:11" s="1" customFormat="1" ht="37.5">
      <c r="A34" s="733" t="s">
        <v>258</v>
      </c>
      <c s="343">
        <v>0</v>
      </c>
      <c s="346" t="s">
        <v>259</v>
      </c>
      <c s="759">
        <f>+'OAI '!F35</f>
        <v>500</v>
      </c>
      <c s="762"/>
      <c s="245"/>
      <c s="713"/>
      <c s="185"/>
      <c s="764"/>
      <c s="341"/>
      <c s="342"/>
    </row>
    <row r="35" spans="1:11" s="1" customFormat="1" ht="37.5">
      <c r="A35" s="733" t="s">
        <v>327</v>
      </c>
      <c s="343">
        <v>0</v>
      </c>
      <c s="346" t="s">
        <v>393</v>
      </c>
      <c s="759">
        <f>+'OAI '!F36</f>
        <v>500</v>
      </c>
      <c s="762"/>
      <c s="245"/>
      <c s="713"/>
      <c s="185"/>
      <c s="764"/>
      <c s="341"/>
      <c s="342"/>
    </row>
    <row r="36" spans="1:11" s="1" customFormat="1" ht="37.5">
      <c r="A36" s="733" t="s">
        <v>441</v>
      </c>
      <c s="343">
        <v>0</v>
      </c>
      <c s="1302" t="s">
        <v>442</v>
      </c>
      <c s="759">
        <f>+'OAI '!F38</f>
        <v>1000</v>
      </c>
      <c s="762"/>
      <c s="245"/>
      <c s="713"/>
      <c s="185"/>
      <c s="764"/>
      <c s="341"/>
      <c s="342"/>
    </row>
    <row r="37" spans="1:11" s="1" customFormat="1" ht="37.5">
      <c r="A37" s="733" t="s">
        <v>260</v>
      </c>
      <c s="343">
        <v>0</v>
      </c>
      <c s="346" t="s">
        <v>261</v>
      </c>
      <c s="759">
        <f>+'OAI '!F39</f>
        <v>1000</v>
      </c>
      <c s="762"/>
      <c s="245"/>
      <c s="713"/>
      <c s="185"/>
      <c s="764"/>
      <c s="341"/>
      <c s="342"/>
    </row>
    <row r="38" spans="1:11" s="1" customFormat="1" ht="18.75">
      <c r="A38" s="733" t="s">
        <v>262</v>
      </c>
      <c s="343">
        <v>0</v>
      </c>
      <c s="346" t="s">
        <v>263</v>
      </c>
      <c s="759">
        <f>+'OAI '!F40</f>
        <v>3975</v>
      </c>
      <c s="762"/>
      <c s="245"/>
      <c s="713"/>
      <c s="185"/>
      <c s="764"/>
      <c s="341"/>
      <c s="342"/>
    </row>
    <row r="39" spans="1:11" s="1" customFormat="1" ht="18.75">
      <c r="A39" s="733" t="s">
        <v>264</v>
      </c>
      <c s="343">
        <v>0</v>
      </c>
      <c s="347" t="s">
        <v>265</v>
      </c>
      <c s="759">
        <f>+'OAI '!F41</f>
        <v>5000</v>
      </c>
      <c s="762"/>
      <c s="245"/>
      <c s="713"/>
      <c s="185"/>
      <c s="764"/>
      <c s="341"/>
      <c s="342"/>
    </row>
    <row r="40" spans="1:11" s="1" customFormat="1" ht="18.75">
      <c r="A40" s="733" t="s">
        <v>266</v>
      </c>
      <c s="343">
        <v>0</v>
      </c>
      <c s="347" t="s">
        <v>267</v>
      </c>
      <c s="759">
        <f>+'OAI '!F42</f>
        <v>3000</v>
      </c>
      <c s="762"/>
      <c s="245"/>
      <c s="713"/>
      <c s="185"/>
      <c s="764"/>
      <c s="341"/>
      <c s="342"/>
    </row>
    <row r="41" spans="1:11" s="1" customFormat="1" ht="18.75">
      <c r="A41" s="733" t="s">
        <v>268</v>
      </c>
      <c s="343">
        <v>0</v>
      </c>
      <c s="347" t="s">
        <v>269</v>
      </c>
      <c s="759">
        <f>+'OAI '!F43</f>
        <v>4032.1100999999999</v>
      </c>
      <c s="762"/>
      <c s="245"/>
      <c s="713"/>
      <c s="185"/>
      <c s="764"/>
      <c s="341"/>
      <c s="342"/>
    </row>
    <row r="42" spans="1:11" s="1" customFormat="1" ht="37.5">
      <c r="A42" s="733" t="s">
        <v>270</v>
      </c>
      <c s="343">
        <v>0</v>
      </c>
      <c s="347" t="s">
        <v>271</v>
      </c>
      <c s="759">
        <f>+'OAI '!F44</f>
        <v>100</v>
      </c>
      <c s="762"/>
      <c s="245"/>
      <c s="713"/>
      <c s="185"/>
      <c s="764"/>
      <c s="341"/>
      <c s="342"/>
    </row>
    <row r="43" spans="1:11" s="1" customFormat="1" ht="37.5">
      <c r="A43" s="733" t="s">
        <v>272</v>
      </c>
      <c s="343">
        <v>0</v>
      </c>
      <c s="347" t="s">
        <v>303</v>
      </c>
      <c s="759">
        <f>+'OAI '!F45</f>
        <v>1500</v>
      </c>
      <c s="762"/>
      <c s="245"/>
      <c s="713"/>
      <c s="185"/>
      <c s="764"/>
      <c s="341"/>
      <c s="342"/>
    </row>
    <row r="44" spans="1:11" s="1" customFormat="1" ht="19.5" thickBot="1">
      <c r="A44" s="732" t="s">
        <v>274</v>
      </c>
      <c s="731">
        <v>0</v>
      </c>
      <c s="730" t="s">
        <v>275</v>
      </c>
      <c s="759">
        <f>+'OAI '!F46</f>
        <v>60352</v>
      </c>
      <c s="763"/>
      <c s="729"/>
      <c s="728"/>
      <c s="190"/>
      <c s="765"/>
      <c s="703"/>
      <c s="704"/>
    </row>
    <row r="45" spans="1:11" s="1" customFormat="1" ht="30" customHeight="1" thickBot="1">
      <c r="A45" s="195" t="s">
        <v>246</v>
      </c>
      <c s="286">
        <f>SUM(B9:B44)</f>
        <v>10160</v>
      </c>
      <c s="1483" t="s">
        <v>182</v>
      </c>
      <c s="1483"/>
      <c s="717"/>
      <c s="717"/>
      <c s="716"/>
      <c s="717">
        <f>SUM(H9:H44)</f>
        <v>11713075</v>
      </c>
      <c s="717">
        <f>SUM(I9:I44)</f>
        <v>308800</v>
      </c>
      <c s="394"/>
      <c s="395"/>
    </row>
    <row r="46" spans="3:21" ht="41.25" customHeight="1" thickTop="1">
      <c r="C46" s="180"/>
      <c r="E46" s="262"/>
      <c r="G46" s="691"/>
      <c s="172"/>
      <c r="J46" s="181"/>
      <c r="L46" s="251"/>
      <c s="251"/>
      <c s="181">
        <v>0</v>
      </c>
      <c s="251"/>
      <c s="251"/>
      <c s="251"/>
      <c s="251"/>
      <c s="251"/>
      <c s="251"/>
      <c s="251"/>
    </row>
    <row r="47" spans="5:8" ht="18">
      <c r="E47" s="193"/>
      <c s="191"/>
      <c s="191"/>
      <c s="193"/>
    </row>
    <row r="48" spans="5:8" ht="18">
      <c r="E48" s="193"/>
      <c s="191"/>
      <c s="191"/>
      <c s="193"/>
    </row>
    <row r="49" spans="5:8" ht="18">
      <c r="E49" s="193"/>
      <c s="191"/>
      <c s="191"/>
      <c s="193"/>
    </row>
    <row r="50" spans="5:8" ht="18">
      <c r="E50" s="193"/>
      <c s="191"/>
      <c s="191"/>
      <c s="191"/>
    </row>
    <row r="51" spans="5:8" ht="18">
      <c r="E51" s="193"/>
      <c s="191"/>
      <c s="191"/>
      <c s="191"/>
    </row>
    <row r="52" spans="5:8" ht="18">
      <c r="E52" s="193"/>
      <c s="191"/>
      <c s="191"/>
      <c s="191"/>
    </row>
    <row r="53" spans="5:5" ht="12.75">
      <c r="E53" s="262"/>
    </row>
    <row r="54" spans="5:5" ht="12.75">
      <c r="E54" s="262"/>
    </row>
    <row r="55" spans="5:5" ht="12.75">
      <c r="E55" s="262"/>
    </row>
    <row r="56" spans="5:8" ht="12.75">
      <c r="E56" s="172"/>
      <c r="H56" s="262"/>
    </row>
    <row r="57" spans="8:8" ht="12.75">
      <c r="H57" s="262"/>
    </row>
    <row r="58" spans="5:8" ht="12.75">
      <c r="E58" s="172"/>
      <c r="H58" s="262"/>
    </row>
    <row r="59" spans="8:8" ht="12.75">
      <c r="H59" s="262"/>
    </row>
    <row r="60" spans="5:8" ht="12.75">
      <c r="E60" s="172"/>
      <c r="H60" s="262"/>
    </row>
    <row r="61" spans="8:8" ht="12.75">
      <c r="H61" s="262"/>
    </row>
    <row r="62" spans="5:8" ht="12.75">
      <c r="E62" s="172"/>
      <c r="H62" s="262"/>
    </row>
    <row r="63" spans="8:8" ht="12.75">
      <c r="H63" s="262"/>
    </row>
  </sheetData>
  <mergeCells count="9">
    <mergeCell ref="C45:D45"/>
    <mergeCell ref="A6:J6"/>
    <mergeCell ref="A7:A8"/>
    <mergeCell ref="H7:I7"/>
    <mergeCell ref="B7:B8"/>
    <mergeCell ref="A2:K2"/>
    <mergeCell ref="A3:K3"/>
    <mergeCell ref="A4:K4"/>
    <mergeCell ref="A5:K5"/>
  </mergeCells>
  <pageMargins left="0.708661417322835" right="0.708661417322835" top="0.748031496062992" bottom="0.748031496062992" header="0.31496062992126" footer="0.31496062992126"/>
  <pageSetup orientation="portrait" paperSize="9" scale="50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H25"/>
  <sheetViews>
    <sheetView workbookViewId="0" topLeftCell="A1">
      <selection pane="topLeft" activeCell="M25" sqref="M25"/>
    </sheetView>
  </sheetViews>
  <sheetFormatPr defaultRowHeight="12.75"/>
  <sheetData>
    <row r="1" spans="1:8" ht="14.25">
      <c r="A1" s="757">
        <v>45187</v>
      </c>
      <c s="664" t="s">
        <v>498</v>
      </c>
      <c s="664" t="s">
        <v>477</v>
      </c>
      <c s="768">
        <v>0</v>
      </c>
      <c s="628">
        <v>0</v>
      </c>
      <c s="628" t="str">
        <f>+F2</f>
        <v>21,291,810.09</v>
      </c>
      <c s="628" t="s">
        <v>500</v>
      </c>
      <c s="664" t="s">
        <v>478</v>
      </c>
    </row>
    <row r="2" spans="1:8" ht="14.25">
      <c r="A2" s="757">
        <v>45187</v>
      </c>
      <c s="664" t="s">
        <v>503</v>
      </c>
      <c s="664" t="s">
        <v>504</v>
      </c>
      <c s="768">
        <v>905.88999999999999</v>
      </c>
      <c s="628" t="s">
        <v>499</v>
      </c>
      <c s="628" t="s">
        <v>505</v>
      </c>
      <c s="628" t="s">
        <v>506</v>
      </c>
      <c s="664" t="s">
        <v>507</v>
      </c>
    </row>
    <row r="3" spans="1:8" ht="14.25">
      <c r="A3" s="757">
        <v>45187</v>
      </c>
      <c s="664" t="s">
        <v>513</v>
      </c>
      <c s="664" t="s">
        <v>504</v>
      </c>
      <c s="768">
        <v>609.55999999999995</v>
      </c>
      <c s="628" t="s">
        <v>499</v>
      </c>
      <c s="628" t="s">
        <v>514</v>
      </c>
      <c s="628" t="s">
        <v>515</v>
      </c>
      <c s="664" t="s">
        <v>516</v>
      </c>
    </row>
    <row r="4" spans="1:8" ht="14.25">
      <c r="A4" s="757">
        <v>45187</v>
      </c>
      <c s="664" t="s">
        <v>521</v>
      </c>
      <c s="664" t="s">
        <v>504</v>
      </c>
      <c s="768">
        <v>719.32000000000005</v>
      </c>
      <c s="628" t="s">
        <v>499</v>
      </c>
      <c s="628" t="s">
        <v>522</v>
      </c>
      <c s="628" t="s">
        <v>523</v>
      </c>
      <c s="664" t="s">
        <v>524</v>
      </c>
    </row>
    <row r="5" spans="1:8" ht="14.25">
      <c r="A5" s="757">
        <v>45187</v>
      </c>
      <c s="664" t="s">
        <v>529</v>
      </c>
      <c s="664" t="s">
        <v>504</v>
      </c>
      <c s="768">
        <v>470.25999999999999</v>
      </c>
      <c s="628" t="s">
        <v>499</v>
      </c>
      <c s="628" t="s">
        <v>530</v>
      </c>
      <c s="628" t="s">
        <v>531</v>
      </c>
      <c s="664" t="s">
        <v>532</v>
      </c>
    </row>
    <row r="6" spans="1:8" ht="14.25">
      <c r="A6" s="757">
        <v>45187</v>
      </c>
      <c s="664" t="s">
        <v>537</v>
      </c>
      <c s="664" t="s">
        <v>504</v>
      </c>
      <c s="768">
        <v>732.08000000000004</v>
      </c>
      <c s="628" t="s">
        <v>499</v>
      </c>
      <c s="628" t="s">
        <v>538</v>
      </c>
      <c s="628" t="s">
        <v>539</v>
      </c>
      <c s="664" t="s">
        <v>540</v>
      </c>
    </row>
    <row r="7" spans="1:8" ht="14.25">
      <c r="A7" s="757">
        <v>45187</v>
      </c>
      <c s="664" t="s">
        <v>545</v>
      </c>
      <c s="664" t="s">
        <v>504</v>
      </c>
      <c s="768">
        <v>480.73000000000002</v>
      </c>
      <c s="628" t="s">
        <v>499</v>
      </c>
      <c s="628" t="s">
        <v>546</v>
      </c>
      <c s="628" t="s">
        <v>547</v>
      </c>
      <c s="664" t="s">
        <v>548</v>
      </c>
    </row>
    <row r="8" spans="1:8" ht="14.25">
      <c r="A8" s="757">
        <v>45187</v>
      </c>
      <c s="664" t="s">
        <v>553</v>
      </c>
      <c s="664" t="s">
        <v>504</v>
      </c>
      <c s="769">
        <v>1220.25</v>
      </c>
      <c s="628" t="s">
        <v>499</v>
      </c>
      <c s="628" t="s">
        <v>554</v>
      </c>
      <c s="628" t="s">
        <v>555</v>
      </c>
      <c s="664" t="s">
        <v>556</v>
      </c>
    </row>
    <row r="9" spans="1:8" ht="14.25">
      <c r="A9" s="757">
        <v>45187</v>
      </c>
      <c s="664" t="s">
        <v>561</v>
      </c>
      <c s="664" t="s">
        <v>504</v>
      </c>
      <c s="768">
        <v>807.38</v>
      </c>
      <c s="628" t="s">
        <v>499</v>
      </c>
      <c s="628" t="s">
        <v>562</v>
      </c>
      <c s="628" t="s">
        <v>563</v>
      </c>
      <c s="664" t="s">
        <v>564</v>
      </c>
    </row>
    <row r="10" spans="1:8" ht="14.25">
      <c r="A10" s="757">
        <v>45187</v>
      </c>
      <c s="664" t="s">
        <v>569</v>
      </c>
      <c s="664" t="s">
        <v>504</v>
      </c>
      <c s="768">
        <v>990.59000000000003</v>
      </c>
      <c s="628" t="s">
        <v>499</v>
      </c>
      <c s="628" t="s">
        <v>570</v>
      </c>
      <c s="628" t="s">
        <v>571</v>
      </c>
      <c s="664" t="s">
        <v>572</v>
      </c>
    </row>
    <row r="11" spans="1:8" ht="14.25">
      <c r="A11" s="757">
        <v>45187</v>
      </c>
      <c s="664" t="s">
        <v>577</v>
      </c>
      <c s="664" t="s">
        <v>504</v>
      </c>
      <c s="768">
        <v>675.94000000000005</v>
      </c>
      <c s="628" t="s">
        <v>499</v>
      </c>
      <c s="628" t="s">
        <v>578</v>
      </c>
      <c s="628" t="s">
        <v>579</v>
      </c>
      <c s="664" t="s">
        <v>580</v>
      </c>
    </row>
    <row r="12" spans="1:8" ht="14.25">
      <c r="A12" s="757">
        <v>45187</v>
      </c>
      <c s="664" t="s">
        <v>585</v>
      </c>
      <c s="664" t="s">
        <v>504</v>
      </c>
      <c s="768">
        <v>844.61000000000001</v>
      </c>
      <c s="628" t="s">
        <v>499</v>
      </c>
      <c s="628" t="s">
        <v>586</v>
      </c>
      <c s="628" t="s">
        <v>587</v>
      </c>
      <c s="664" t="s">
        <v>588</v>
      </c>
    </row>
    <row r="13" spans="1:8" ht="14.25">
      <c r="A13" s="757">
        <v>45187</v>
      </c>
      <c s="664" t="s">
        <v>593</v>
      </c>
      <c s="664" t="s">
        <v>504</v>
      </c>
      <c s="768">
        <v>573.83000000000004</v>
      </c>
      <c s="628" t="s">
        <v>499</v>
      </c>
      <c s="628" t="s">
        <v>594</v>
      </c>
      <c s="628" t="s">
        <v>595</v>
      </c>
      <c s="664" t="s">
        <v>596</v>
      </c>
    </row>
    <row r="14" spans="1:8" ht="14.25">
      <c r="A14" s="766">
        <v>45187</v>
      </c>
      <c s="767" t="s">
        <v>508</v>
      </c>
      <c s="767" t="s">
        <v>509</v>
      </c>
      <c s="769">
        <v>603925</v>
      </c>
      <c s="679" t="s">
        <v>499</v>
      </c>
      <c s="679" t="s">
        <v>510</v>
      </c>
      <c s="679" t="s">
        <v>511</v>
      </c>
      <c s="767" t="s">
        <v>512</v>
      </c>
    </row>
    <row r="15" spans="1:8" ht="14.25">
      <c r="A15" s="766">
        <v>45187</v>
      </c>
      <c s="767" t="s">
        <v>517</v>
      </c>
      <c s="767" t="s">
        <v>509</v>
      </c>
      <c s="769">
        <v>406375</v>
      </c>
      <c s="679" t="s">
        <v>499</v>
      </c>
      <c s="679" t="s">
        <v>518</v>
      </c>
      <c s="679" t="s">
        <v>519</v>
      </c>
      <c s="767" t="s">
        <v>520</v>
      </c>
    </row>
    <row r="16" spans="1:8" ht="14.25">
      <c r="A16" s="766">
        <v>45187</v>
      </c>
      <c s="767" t="s">
        <v>525</v>
      </c>
      <c s="767" t="s">
        <v>509</v>
      </c>
      <c s="769">
        <v>479549</v>
      </c>
      <c s="679" t="s">
        <v>499</v>
      </c>
      <c s="679" t="s">
        <v>526</v>
      </c>
      <c s="679" t="s">
        <v>527</v>
      </c>
      <c s="767" t="s">
        <v>528</v>
      </c>
    </row>
    <row r="17" spans="1:8" ht="14.25">
      <c r="A17" s="766">
        <v>45187</v>
      </c>
      <c s="767" t="s">
        <v>533</v>
      </c>
      <c s="767" t="s">
        <v>509</v>
      </c>
      <c s="769">
        <v>313506.14000000001</v>
      </c>
      <c s="679" t="s">
        <v>499</v>
      </c>
      <c s="679" t="s">
        <v>534</v>
      </c>
      <c s="679" t="s">
        <v>535</v>
      </c>
      <c s="767" t="s">
        <v>536</v>
      </c>
    </row>
    <row r="18" spans="1:8" ht="14.25">
      <c r="A18" s="766">
        <v>45187</v>
      </c>
      <c s="767" t="s">
        <v>541</v>
      </c>
      <c s="767" t="s">
        <v>509</v>
      </c>
      <c s="769">
        <v>488056.20000000001</v>
      </c>
      <c s="679" t="s">
        <v>499</v>
      </c>
      <c s="679" t="s">
        <v>542</v>
      </c>
      <c s="679" t="s">
        <v>543</v>
      </c>
      <c s="767" t="s">
        <v>544</v>
      </c>
    </row>
    <row r="19" spans="1:8" ht="14.25">
      <c r="A19" s="766">
        <v>45187</v>
      </c>
      <c s="767" t="s">
        <v>549</v>
      </c>
      <c s="767" t="s">
        <v>509</v>
      </c>
      <c s="769">
        <v>320489.21000000002</v>
      </c>
      <c s="679" t="s">
        <v>499</v>
      </c>
      <c s="679" t="s">
        <v>550</v>
      </c>
      <c s="679" t="s">
        <v>551</v>
      </c>
      <c s="767" t="s">
        <v>552</v>
      </c>
    </row>
    <row r="20" spans="1:8" ht="14.25">
      <c r="A20" s="766">
        <v>45187</v>
      </c>
      <c s="767" t="s">
        <v>557</v>
      </c>
      <c s="767" t="s">
        <v>509</v>
      </c>
      <c s="769">
        <v>813500</v>
      </c>
      <c s="679" t="s">
        <v>499</v>
      </c>
      <c s="679" t="s">
        <v>558</v>
      </c>
      <c s="679" t="s">
        <v>559</v>
      </c>
      <c s="767" t="s">
        <v>560</v>
      </c>
    </row>
    <row r="21" spans="1:8" ht="14.25">
      <c r="A21" s="766">
        <v>45187</v>
      </c>
      <c s="767" t="s">
        <v>565</v>
      </c>
      <c s="767" t="s">
        <v>509</v>
      </c>
      <c s="769">
        <v>538250</v>
      </c>
      <c s="679" t="s">
        <v>499</v>
      </c>
      <c s="679" t="s">
        <v>566</v>
      </c>
      <c s="679" t="s">
        <v>567</v>
      </c>
      <c s="767" t="s">
        <v>568</v>
      </c>
    </row>
    <row r="22" spans="1:8" ht="14.25">
      <c r="A22" s="766">
        <v>45187</v>
      </c>
      <c s="767" t="s">
        <v>573</v>
      </c>
      <c s="767" t="s">
        <v>509</v>
      </c>
      <c s="769">
        <v>660390</v>
      </c>
      <c s="679" t="s">
        <v>499</v>
      </c>
      <c s="679" t="s">
        <v>574</v>
      </c>
      <c s="679" t="s">
        <v>575</v>
      </c>
      <c s="767" t="s">
        <v>576</v>
      </c>
    </row>
    <row r="23" spans="1:8" ht="14.25">
      <c r="A23" s="766">
        <v>45187</v>
      </c>
      <c s="767" t="s">
        <v>581</v>
      </c>
      <c s="767" t="s">
        <v>509</v>
      </c>
      <c s="769">
        <v>450625</v>
      </c>
      <c s="679" t="s">
        <v>499</v>
      </c>
      <c s="679" t="s">
        <v>582</v>
      </c>
      <c s="679" t="s">
        <v>583</v>
      </c>
      <c s="767" t="s">
        <v>584</v>
      </c>
    </row>
    <row r="24" spans="1:8" ht="14.25">
      <c r="A24" s="766">
        <v>45187</v>
      </c>
      <c s="767" t="s">
        <v>589</v>
      </c>
      <c s="767" t="s">
        <v>509</v>
      </c>
      <c s="769">
        <v>563070</v>
      </c>
      <c s="679" t="s">
        <v>499</v>
      </c>
      <c s="679" t="s">
        <v>590</v>
      </c>
      <c s="679" t="s">
        <v>591</v>
      </c>
      <c s="767" t="s">
        <v>592</v>
      </c>
    </row>
    <row r="25" spans="1:8" ht="14.25">
      <c r="A25" s="766">
        <v>45187</v>
      </c>
      <c s="767" t="s">
        <v>597</v>
      </c>
      <c s="767" t="s">
        <v>509</v>
      </c>
      <c s="769">
        <v>382550</v>
      </c>
      <c s="679" t="s">
        <v>499</v>
      </c>
      <c s="679" t="s">
        <v>598</v>
      </c>
      <c s="679" t="s">
        <v>599</v>
      </c>
      <c s="767" t="s">
        <v>600</v>
      </c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pageSetUpPr fitToPage="1"/>
  </sheetPr>
  <dimension ref="A1:H47"/>
  <sheetViews>
    <sheetView zoomScale="95" zoomScaleNormal="95" workbookViewId="0" topLeftCell="A1">
      <selection pane="topLeft" activeCell="F41" sqref="F41"/>
    </sheetView>
  </sheetViews>
  <sheetFormatPr defaultRowHeight="12.75"/>
  <cols>
    <col min="1" max="1" width="84.5714285714286" style="53" customWidth="1"/>
    <col min="2" max="2" width="63" style="53" customWidth="1"/>
    <col min="3" max="3" width="22.8571428571429" style="53" customWidth="1"/>
    <col min="4" max="4" width="5.57142857142857" style="53" customWidth="1"/>
    <col min="5" max="5" width="24.7142857142857" style="53" customWidth="1"/>
    <col min="6" max="6" width="17.2857142857143" style="53" customWidth="1"/>
    <col min="7" max="7" width="19" style="53" customWidth="1"/>
    <col min="8" max="8" width="13.5714285714286" style="53" bestFit="1" customWidth="1"/>
    <col min="9" max="16384" width="11.4285714285714" style="53"/>
  </cols>
  <sheetData>
    <row r="1" spans="1:5" ht="30">
      <c r="A1" s="1335" t="s">
        <v>333</v>
      </c>
      <c s="1335"/>
      <c s="1335"/>
      <c s="1335"/>
      <c s="1335"/>
    </row>
    <row r="2" spans="1:5" ht="58.5" customHeight="1">
      <c r="A2" s="1336" t="s">
        <v>344</v>
      </c>
      <c s="1336"/>
      <c s="1336"/>
      <c s="1336"/>
      <c s="1336"/>
    </row>
    <row r="3" spans="1:5" ht="27.75">
      <c r="A3" s="1337" t="str">
        <f>+'CONC. MOV'!A4:H4</f>
        <v>CORRESPONDIENTE AL 29 DE NOVIEMBRE 2024</v>
      </c>
      <c s="1337"/>
      <c s="1337"/>
      <c s="1337"/>
      <c s="1337"/>
    </row>
    <row r="4" spans="1:5" ht="27.75">
      <c r="A4" s="1337" t="s">
        <v>345</v>
      </c>
      <c s="1337"/>
      <c s="1337"/>
      <c s="1337"/>
      <c s="1337"/>
    </row>
    <row r="5" spans="1:5" ht="84" customHeight="1">
      <c r="A5" s="1243"/>
      <c s="1243"/>
      <c s="1243"/>
      <c s="1243"/>
      <c s="1243"/>
    </row>
    <row r="6" spans="1:5" ht="24">
      <c r="A6" s="1243"/>
      <c s="1243"/>
      <c s="1243"/>
      <c s="1243"/>
      <c s="1243"/>
    </row>
    <row r="7" spans="1:5" ht="24">
      <c r="A7" s="1243"/>
      <c s="1243"/>
      <c s="1243"/>
      <c s="1243"/>
      <c s="1243"/>
    </row>
    <row r="9" spans="1:5" ht="23.25">
      <c r="A9" s="1244"/>
      <c s="1244"/>
      <c s="1245"/>
      <c s="1245"/>
      <c s="1245"/>
    </row>
    <row r="10" spans="1:7" ht="21" thickBot="1">
      <c r="A10" s="1246" t="s">
        <v>735</v>
      </c>
      <c s="1246"/>
      <c s="1247">
        <v>16430236.24</v>
      </c>
      <c s="1248"/>
      <c s="1249"/>
      <c s="513"/>
      <c s="1250"/>
    </row>
    <row r="11" spans="1:5" ht="21.75" customHeight="1" thickTop="1">
      <c r="A11" s="1246"/>
      <c s="1246"/>
      <c s="1249"/>
      <c s="1249"/>
      <c s="1249"/>
    </row>
    <row r="12" spans="1:6" ht="59.25" customHeight="1">
      <c r="A12" s="1338" t="s">
        <v>736</v>
      </c>
      <c s="1338"/>
      <c s="1252">
        <f>+'OAI '!G48+'INGRESOS ACUMULADOS '!G113-'INGRESOS ACUMULADOS '!G114-'INGRESOS ACUMULADOS '!G115-'INGRESOS ACUMULADOS '!G116-210</f>
        <v>30323745</v>
      </c>
      <c s="1253"/>
      <c s="1254"/>
      <c s="513"/>
    </row>
    <row r="13" spans="1:6" ht="27" customHeight="1">
      <c r="A13" s="1339" t="s">
        <v>671</v>
      </c>
      <c s="1339"/>
      <c s="1252">
        <v>0</v>
      </c>
      <c s="1253"/>
      <c s="1254"/>
      <c s="513"/>
    </row>
    <row r="14" spans="1:6" ht="20.25" customHeight="1">
      <c r="A14" s="1251" t="s">
        <v>489</v>
      </c>
      <c s="1251"/>
      <c s="1255">
        <v>0</v>
      </c>
      <c s="1253"/>
      <c s="1254"/>
      <c s="513"/>
    </row>
    <row r="15" spans="1:5" ht="21.75" customHeight="1">
      <c r="A15" s="1251"/>
      <c s="1251"/>
      <c s="1256">
        <f>SUM(C12:C14)</f>
        <v>30323745</v>
      </c>
      <c s="1253"/>
      <c s="1254"/>
    </row>
    <row r="16" spans="1:5" ht="21.75" customHeight="1">
      <c r="A16" s="1251"/>
      <c s="1257"/>
      <c s="1253"/>
      <c s="1253"/>
      <c s="1254"/>
    </row>
    <row r="17" spans="1:6" ht="31.5" customHeight="1">
      <c r="A17" s="1258" t="s">
        <v>346</v>
      </c>
      <c s="1259"/>
      <c s="1253"/>
      <c s="1253"/>
      <c s="1254"/>
      <c s="513"/>
    </row>
    <row r="18" spans="1:6" ht="18" customHeight="1">
      <c r="A18" s="1258" t="s">
        <v>347</v>
      </c>
      <c s="1246"/>
      <c s="1260">
        <f>+'INGRESOS ACUMULADOS '!G74</f>
        <v>27912334.549999997</v>
      </c>
      <c s="1253"/>
      <c s="1254"/>
      <c s="513"/>
    </row>
    <row r="19" spans="1:6" ht="18" customHeight="1">
      <c r="A19" s="1246" t="s">
        <v>463</v>
      </c>
      <c s="1246"/>
      <c s="1252">
        <v>0</v>
      </c>
      <c s="1253"/>
      <c s="1254"/>
      <c s="513"/>
    </row>
    <row r="20" spans="1:6" ht="18" customHeight="1">
      <c r="A20" s="1246" t="s">
        <v>395</v>
      </c>
      <c s="1259"/>
      <c s="1252">
        <v>175</v>
      </c>
      <c s="1253"/>
      <c s="1254"/>
      <c s="513"/>
    </row>
    <row r="21" spans="1:6" ht="18" customHeight="1">
      <c r="A21" s="1246" t="s">
        <v>674</v>
      </c>
      <c s="1259"/>
      <c s="1252">
        <v>0</v>
      </c>
      <c s="1253"/>
      <c s="1254"/>
      <c s="513"/>
    </row>
    <row r="22" spans="1:6" ht="19.5" customHeight="1">
      <c r="A22" s="1246" t="s">
        <v>348</v>
      </c>
      <c s="1246"/>
      <c s="1255">
        <f>+'INGRESOS ACUMULADOS '!G77</f>
        <v>41868.509999999995</v>
      </c>
      <c s="1253"/>
      <c s="1254"/>
      <c s="513"/>
    </row>
    <row r="23" spans="1:6" ht="18" customHeight="1">
      <c r="A23" s="1246"/>
      <c s="1246"/>
      <c s="1253"/>
      <c s="1253"/>
      <c s="1254"/>
      <c s="513"/>
    </row>
    <row r="24" spans="1:5" ht="20.25">
      <c r="A24" s="1246"/>
      <c s="1246"/>
      <c s="1253"/>
      <c s="1253"/>
      <c s="1254"/>
    </row>
    <row r="25" spans="1:7" ht="20.25">
      <c r="A25" s="1246" t="s">
        <v>349</v>
      </c>
      <c s="1246"/>
      <c s="1249"/>
      <c s="1249"/>
      <c s="1261">
        <f>+C10+C15-C18-C19-C20-C22-C21</f>
        <v>18799603.180000003</v>
      </c>
      <c s="513"/>
      <c s="513"/>
    </row>
    <row r="26" spans="1:7" ht="32.25" customHeight="1">
      <c r="A26" s="1262" t="s">
        <v>346</v>
      </c>
      <c s="1262"/>
      <c s="1263"/>
      <c s="1263"/>
      <c s="1254"/>
      <c s="513"/>
      <c s="513"/>
    </row>
    <row r="27" spans="1:6" ht="39" customHeight="1">
      <c r="A27" s="1246" t="s">
        <v>350</v>
      </c>
      <c s="1246"/>
      <c s="1253"/>
      <c s="1253"/>
      <c s="1264">
        <f>+'INGRESOS ACUMULADOS '!G118</f>
        <v>16890068.09</v>
      </c>
      <c s="513"/>
    </row>
    <row r="28" spans="1:6" ht="30" customHeight="1">
      <c r="A28" s="1246" t="s">
        <v>737</v>
      </c>
      <c s="1246"/>
      <c s="1265"/>
      <c s="1265"/>
      <c s="1248">
        <f>+E25-E27</f>
        <v>1909535.0900000036</v>
      </c>
      <c s="513"/>
    </row>
    <row r="29" spans="1:6" ht="20.25">
      <c r="A29" s="1246"/>
      <c s="1246"/>
      <c s="1265"/>
      <c s="1265"/>
      <c s="1248"/>
      <c s="513"/>
    </row>
    <row r="30" spans="1:5" ht="40.5" customHeight="1">
      <c r="A30" s="1266" t="s">
        <v>608</v>
      </c>
      <c s="1246"/>
      <c s="1249"/>
      <c s="1249"/>
      <c s="1267"/>
    </row>
    <row r="31" spans="1:7" ht="26.25" customHeight="1" hidden="1">
      <c r="A31" s="1246" t="s">
        <v>495</v>
      </c>
      <c s="1246"/>
      <c s="1249">
        <v>0</v>
      </c>
      <c s="1249"/>
      <c s="1267"/>
      <c s="513"/>
      <c s="513"/>
    </row>
    <row r="32" spans="1:7" ht="25.5" customHeight="1">
      <c r="A32" s="1246" t="s">
        <v>496</v>
      </c>
      <c s="1246"/>
      <c s="1253">
        <v>-1204.9100000000001</v>
      </c>
      <c s="1253"/>
      <c s="1249"/>
      <c s="513"/>
      <c s="513"/>
    </row>
    <row r="33" spans="1:7" ht="0.75" customHeight="1">
      <c r="A33" s="1246" t="s">
        <v>601</v>
      </c>
      <c s="1246"/>
      <c s="1253">
        <v>0</v>
      </c>
      <c s="1253"/>
      <c s="1249"/>
      <c s="513"/>
      <c s="513"/>
    </row>
    <row r="34" spans="1:8" ht="27.75" customHeight="1">
      <c r="A34" s="1246" t="s">
        <v>738</v>
      </c>
      <c s="1246"/>
      <c s="1268">
        <v>-210</v>
      </c>
      <c s="1253"/>
      <c s="1249"/>
      <c s="513"/>
      <c s="513"/>
      <c s="506"/>
    </row>
    <row r="35" spans="1:8" ht="26.25" customHeight="1">
      <c r="A35" s="1246" t="s">
        <v>351</v>
      </c>
      <c s="1246"/>
      <c s="1249"/>
      <c s="1249"/>
      <c s="1248">
        <f>C31+C32+C33+C34</f>
        <v>-1414.9100000000001</v>
      </c>
      <c r="G35" s="513"/>
      <c s="513"/>
    </row>
    <row r="36" spans="1:8" ht="20.25">
      <c r="A36" s="1246"/>
      <c s="1246"/>
      <c s="1249"/>
      <c s="1249"/>
      <c s="1249"/>
      <c r="G36" s="513"/>
      <c s="513"/>
    </row>
    <row r="37" spans="1:8" ht="21" thickBot="1">
      <c r="A37" s="1246" t="s">
        <v>739</v>
      </c>
      <c s="1246"/>
      <c s="1249"/>
      <c s="1249"/>
      <c s="1247">
        <f>E27+E35</f>
        <v>16888653.18</v>
      </c>
      <c s="513"/>
      <c s="513"/>
      <c s="53" t="s">
        <v>632</v>
      </c>
    </row>
    <row r="38" spans="1:7" ht="21" thickTop="1">
      <c r="A38" s="1265"/>
      <c s="1265"/>
      <c s="1249"/>
      <c s="1249"/>
      <c s="1249">
        <f>E37-'MOVIMIENTOS DEL DIA'!F13</f>
        <v>0</v>
      </c>
      <c s="506"/>
      <c s="506"/>
    </row>
    <row r="39" spans="1:7" ht="20.25">
      <c r="A39" s="1265"/>
      <c s="1265"/>
      <c s="1249"/>
      <c s="1249"/>
      <c s="1249">
        <f>+E25-E37</f>
        <v>1910950.0000000037</v>
      </c>
      <c s="506"/>
      <c s="506"/>
    </row>
    <row r="40" spans="1:8" ht="20.25">
      <c r="A40" s="1265"/>
      <c s="1265"/>
      <c s="1249"/>
      <c s="1249"/>
      <c s="1249"/>
      <c s="506"/>
      <c s="506"/>
      <c s="513"/>
    </row>
    <row r="41" spans="1:7" ht="186.75" customHeight="1">
      <c r="A41" s="1265" t="s">
        <v>60</v>
      </c>
      <c s="1265"/>
      <c s="1249"/>
      <c s="1249"/>
      <c s="1249"/>
      <c s="506"/>
      <c s="506" t="s">
        <v>60</v>
      </c>
    </row>
    <row r="42" spans="1:5" ht="20.25">
      <c r="A42" s="1265"/>
      <c s="1265"/>
      <c s="1265"/>
      <c s="1265"/>
      <c s="1265"/>
    </row>
    <row r="43" spans="1:5" ht="20.25">
      <c r="A43" s="1265"/>
      <c s="1265"/>
      <c s="1265"/>
      <c s="1265"/>
      <c s="1265"/>
    </row>
    <row r="44" spans="1:5" ht="23.25">
      <c r="A44" s="1269" t="s">
        <v>412</v>
      </c>
      <c s="1270"/>
      <c s="1271" t="s">
        <v>457</v>
      </c>
      <c s="1269"/>
      <c s="1270"/>
    </row>
    <row r="45" spans="1:5" ht="23.25">
      <c r="A45" s="1270" t="s">
        <v>352</v>
      </c>
      <c s="1270"/>
      <c s="1270" t="s">
        <v>343</v>
      </c>
      <c s="1272"/>
      <c s="1270"/>
    </row>
    <row r="46" spans="1:5" ht="23.25">
      <c r="A46" s="1270"/>
      <c s="1270"/>
      <c s="1270" t="s">
        <v>353</v>
      </c>
      <c s="1270"/>
      <c s="1270"/>
    </row>
    <row r="47" spans="1:5" ht="20.25">
      <c r="A47" s="1265"/>
      <c s="1265"/>
      <c s="1265"/>
      <c s="1265"/>
      <c s="1265"/>
    </row>
  </sheetData>
  <mergeCells count="6">
    <mergeCell ref="A1:E1"/>
    <mergeCell ref="A2:E2"/>
    <mergeCell ref="A3:E3"/>
    <mergeCell ref="A4:E4"/>
    <mergeCell ref="A12:B12"/>
    <mergeCell ref="A13:B13"/>
  </mergeCells>
  <pageMargins left="0" right="0" top="0.748031496062992" bottom="0.748031496062992" header="0.31496062992126" footer="0.31496062992126"/>
  <pageSetup orientation="portrait" paperSize="1" scale="38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FFFF00"/>
  </sheetPr>
  <dimension ref="A2:U19"/>
  <sheetViews>
    <sheetView zoomScale="77" zoomScaleNormal="77" workbookViewId="0" topLeftCell="A1">
      <selection pane="topLeft" activeCell="G22" sqref="G22"/>
    </sheetView>
  </sheetViews>
  <sheetFormatPr defaultRowHeight="12.75"/>
  <cols>
    <col min="1" max="1" width="62.5714285714286" customWidth="1"/>
    <col min="2" max="2" width="25.7142857142857" customWidth="1"/>
    <col min="3" max="3" width="17.1428571428571" customWidth="1"/>
    <col min="4" max="4" width="16.5714285714286" customWidth="1"/>
    <col min="5" max="5" width="22.1428571428571" customWidth="1"/>
    <col min="6" max="6" width="15.1428571428571" customWidth="1"/>
    <col min="7" max="7" width="15.4285714285714" customWidth="1"/>
    <col min="8" max="8" width="57.2857142857143" customWidth="1"/>
  </cols>
  <sheetData>
    <row r="2" spans="1:8" ht="63">
      <c r="A2" s="636" t="s">
        <v>14</v>
      </c>
      <c s="496"/>
      <c s="496"/>
      <c s="300"/>
      <c s="300"/>
      <c s="497" t="s">
        <v>170</v>
      </c>
      <c s="497" t="s">
        <v>171</v>
      </c>
      <c s="498" t="s">
        <v>69</v>
      </c>
    </row>
    <row r="3" spans="1:8" ht="45.75" customHeight="1">
      <c r="A3" s="739" t="s">
        <v>733</v>
      </c>
      <c s="1240"/>
      <c s="1296"/>
      <c s="1241"/>
      <c s="1241"/>
      <c s="681"/>
      <c s="63"/>
      <c s="690">
        <f>B3+E3</f>
        <v>0</v>
      </c>
    </row>
    <row r="4" spans="1:8" ht="45.75" customHeight="1">
      <c r="A4" s="739"/>
      <c s="1229"/>
      <c s="1297"/>
      <c s="1231"/>
      <c s="1231"/>
      <c s="681"/>
      <c s="63"/>
      <c s="690">
        <f>+B4+E4</f>
        <v>0</v>
      </c>
    </row>
    <row r="5" spans="1:8" ht="45.75" customHeight="1">
      <c r="A5" s="858"/>
      <c s="1167"/>
      <c s="1170"/>
      <c s="1167"/>
      <c s="1167"/>
      <c s="681"/>
      <c s="63"/>
      <c s="690">
        <f>+B5+E5</f>
        <v>0</v>
      </c>
    </row>
    <row r="6" spans="1:8" ht="45.75" customHeight="1">
      <c r="A6" s="858"/>
      <c s="1167"/>
      <c s="1170"/>
      <c s="1167"/>
      <c s="1167"/>
      <c s="681"/>
      <c s="63"/>
      <c s="690">
        <f>+B6+E6</f>
        <v>0</v>
      </c>
    </row>
    <row r="7" spans="1:21" ht="24" customHeight="1" thickBot="1">
      <c r="A7" s="635"/>
      <c s="65">
        <f>SUM(B3:B6)</f>
        <v>0</v>
      </c>
      <c s="65">
        <f>SUM(C3:C6)</f>
        <v>0</v>
      </c>
      <c s="65">
        <f>SUM(D3:D6)</f>
        <v>0</v>
      </c>
      <c s="65">
        <f>SUM(E3:E6)</f>
        <v>0</v>
      </c>
      <c s="65"/>
      <c s="65">
        <f>SUM(G3:G6)</f>
        <v>0</v>
      </c>
      <c s="65">
        <f>SUM(H3:H6)+'CONCILIACION '!F41</f>
        <v>0</v>
      </c>
      <c s="171"/>
      <c s="171"/>
      <c s="63"/>
      <c s="171"/>
      <c s="171"/>
      <c s="251"/>
      <c s="181"/>
      <c s="154"/>
      <c s="154"/>
      <c s="154"/>
      <c s="154"/>
      <c s="154"/>
      <c s="154"/>
    </row>
    <row r="8" spans="1:2" ht="15.75">
      <c r="A8" s="635"/>
      <c s="679"/>
    </row>
    <row r="9" spans="2:2" ht="14.25">
      <c r="B9" s="685"/>
    </row>
    <row r="10" spans="2:2" ht="14.25">
      <c r="B10" s="685"/>
    </row>
    <row r="11" spans="2:2" ht="14.25">
      <c r="B11" s="685"/>
    </row>
    <row r="12" spans="2:2" ht="14.25">
      <c r="B12" s="685"/>
    </row>
    <row r="13" spans="2:2" ht="14.25">
      <c r="B13" s="685"/>
    </row>
    <row r="14" spans="6:7" ht="12.75">
      <c r="F14" s="256"/>
      <c s="256"/>
    </row>
    <row r="15" spans="2:2" ht="14.25">
      <c r="B15" s="685"/>
    </row>
    <row r="16" spans="2:8" ht="14.25">
      <c r="B16" s="685"/>
      <c r="E16" s="1101"/>
      <c s="1102"/>
      <c s="1101"/>
      <c s="1101"/>
    </row>
    <row r="17" spans="2:8" ht="14.25">
      <c r="B17" s="685"/>
      <c r="E17" s="1103"/>
      <c s="1102"/>
      <c s="1101"/>
      <c s="1101"/>
    </row>
    <row r="18" spans="6:8" ht="14.25">
      <c r="F18" s="1102"/>
      <c s="1101"/>
      <c s="1101"/>
    </row>
    <row r="19" spans="2:8" ht="12.75">
      <c r="B19" s="691"/>
      <c r="E19" s="56"/>
      <c s="56"/>
      <c s="56"/>
      <c s="56"/>
    </row>
  </sheetData>
  <pageMargins left="0.708661417322835" right="0.708661417322835" top="0.748031496062992" bottom="0.748031496062992" header="0.31496062992126" footer="0.31496062992126"/>
  <pageSetup horizontalDpi="300" verticalDpi="300" orientation="landscape" paperSize="9" scale="7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1">
    <tabColor indexed="13"/>
    <pageSetUpPr fitToPage="1"/>
  </sheetPr>
  <dimension ref="A1:AC90"/>
  <sheetViews>
    <sheetView zoomScale="84" zoomScaleNormal="84" zoomScaleSheetLayoutView="88" workbookViewId="0" topLeftCell="A55">
      <selection pane="topLeft" activeCell="G74" sqref="G74"/>
    </sheetView>
  </sheetViews>
  <sheetFormatPr defaultRowHeight="12.75"/>
  <cols>
    <col min="1" max="1" width="12" customWidth="1"/>
    <col min="2" max="2" width="14.5714285714286" customWidth="1"/>
    <col min="3" max="3" width="16.2857142857143" customWidth="1"/>
    <col min="4" max="4" width="15.2857142857143" customWidth="1"/>
    <col min="5" max="5" width="18.5714285714286" customWidth="1"/>
    <col min="6" max="6" width="27.1428571428571" customWidth="1"/>
    <col min="7" max="7" width="18.4285714285714" customWidth="1"/>
    <col min="8" max="8" width="16.8571428571429" customWidth="1"/>
    <col min="9" max="9" width="17.4285714285714" customWidth="1"/>
    <col min="10" max="10" width="20.2857142857143" customWidth="1"/>
    <col min="11" max="11" width="19.7142857142857" customWidth="1"/>
    <col min="12" max="12" width="16.8571428571429" customWidth="1"/>
    <col min="13" max="13" width="21.8571428571429" customWidth="1"/>
    <col min="14" max="14" width="30.1428571428571" customWidth="1"/>
    <col min="15" max="16" width="19.5714285714286" customWidth="1"/>
    <col min="17" max="17" width="24.8571428571429" customWidth="1"/>
    <col min="18" max="18" width="34.8571428571429" customWidth="1"/>
    <col min="19" max="19" width="11.7142857142857" bestFit="1" customWidth="1"/>
    <col min="20" max="20" width="14.4285714285714" bestFit="1" customWidth="1"/>
    <col min="21" max="22" width="11.5714285714286" bestFit="1" customWidth="1"/>
    <col min="28" max="28" width="14.1428571428571" bestFit="1" customWidth="1"/>
  </cols>
  <sheetData>
    <row r="1" spans="1:16" ht="25.5">
      <c r="A1" s="1340" t="s">
        <v>744</v>
      </c>
      <c s="1340"/>
      <c s="1340"/>
      <c s="1340"/>
      <c s="1340"/>
      <c s="1340"/>
      <c s="1340"/>
      <c s="1340"/>
      <c s="1340"/>
      <c s="1340"/>
      <c s="1340"/>
      <c s="1340"/>
      <c s="1340"/>
      <c s="1340"/>
      <c s="1340"/>
      <c s="1340"/>
    </row>
    <row r="2" spans="1:16" ht="25.5">
      <c r="A2" s="1340" t="s">
        <v>744</v>
      </c>
      <c s="1340"/>
      <c s="1340"/>
      <c s="1340"/>
      <c s="1340"/>
      <c s="1340"/>
      <c s="1340"/>
      <c s="1340"/>
      <c s="1340"/>
      <c s="1340"/>
      <c s="1340"/>
      <c s="1340"/>
      <c s="1340"/>
      <c s="1340"/>
      <c s="1340"/>
      <c s="1340"/>
    </row>
    <row r="3" spans="1:16" ht="15">
      <c r="A3" s="1341" t="s">
        <v>741</v>
      </c>
      <c s="1341"/>
      <c s="1341"/>
      <c s="1341"/>
      <c s="1341"/>
      <c s="1341"/>
      <c s="1341"/>
      <c s="1341"/>
      <c s="1341"/>
      <c s="1341"/>
      <c s="688"/>
      <c s="688"/>
      <c s="688"/>
      <c s="688"/>
      <c s="688"/>
      <c s="641"/>
    </row>
    <row r="4" spans="1:16" ht="15">
      <c r="A4" s="1341" t="s">
        <v>741</v>
      </c>
      <c s="1341"/>
      <c s="1341"/>
      <c s="1341"/>
      <c s="1341"/>
      <c s="1341"/>
      <c s="1341"/>
      <c s="1341"/>
      <c s="1341"/>
      <c s="1341"/>
      <c s="688"/>
      <c s="688"/>
      <c s="688"/>
      <c s="688"/>
      <c s="688"/>
      <c s="641"/>
    </row>
    <row r="5" spans="1:16" ht="12.75">
      <c r="A5" s="642" t="s">
        <v>742</v>
      </c>
      <c s="641"/>
      <c s="641"/>
      <c s="641"/>
      <c s="641"/>
      <c s="641"/>
      <c s="641"/>
      <c s="641"/>
      <c s="641"/>
      <c s="641"/>
      <c s="641"/>
      <c s="641"/>
      <c s="641"/>
      <c s="641"/>
      <c s="641"/>
      <c s="641"/>
    </row>
    <row r="6" spans="1:16" ht="12.75">
      <c r="A6" s="642" t="s">
        <v>743</v>
      </c>
      <c s="641"/>
      <c s="641"/>
      <c s="641"/>
      <c s="641"/>
      <c s="641"/>
      <c s="641"/>
      <c s="641"/>
      <c s="641"/>
      <c s="641"/>
      <c s="641"/>
      <c s="641"/>
      <c s="641"/>
      <c s="641"/>
      <c s="641"/>
      <c s="641"/>
    </row>
    <row r="7" spans="1:16" ht="12.75">
      <c r="A7" s="642" t="s">
        <v>743</v>
      </c>
      <c s="641"/>
      <c s="641"/>
      <c s="641"/>
      <c s="641"/>
      <c s="641"/>
      <c s="641"/>
      <c s="641"/>
      <c s="641"/>
      <c s="641"/>
      <c s="641"/>
      <c s="641"/>
      <c s="641"/>
      <c s="641"/>
      <c s="641"/>
      <c s="641"/>
    </row>
    <row r="8" spans="1:16" ht="28.5" customHeight="1">
      <c r="A8" s="643"/>
      <c s="641"/>
      <c s="641"/>
      <c s="641"/>
      <c s="641"/>
      <c s="641"/>
      <c s="641"/>
      <c s="641"/>
      <c s="641"/>
      <c s="641"/>
      <c s="641"/>
      <c s="641"/>
      <c s="641"/>
      <c s="641"/>
      <c s="641"/>
      <c s="641"/>
    </row>
    <row r="9" spans="1:16" ht="14.25" customHeight="1">
      <c r="A9" s="643"/>
      <c s="641"/>
      <c s="641"/>
      <c s="641"/>
      <c s="641"/>
      <c s="641"/>
      <c s="641"/>
      <c s="641"/>
      <c s="641"/>
      <c s="641"/>
      <c s="641"/>
      <c s="641"/>
      <c s="641"/>
      <c s="641"/>
      <c s="641"/>
      <c s="641"/>
    </row>
    <row r="10" spans="1:21" ht="19.5" customHeight="1">
      <c r="A10" s="1342"/>
      <c s="1342"/>
      <c s="1342"/>
      <c s="1342"/>
      <c s="1342"/>
      <c s="1342"/>
      <c s="1342"/>
      <c s="1342"/>
      <c s="1342"/>
      <c s="1342"/>
      <c s="1342"/>
      <c s="1342"/>
      <c s="1342"/>
      <c s="1342"/>
      <c s="1342"/>
      <c s="1342"/>
      <c s="5"/>
      <c s="1350"/>
      <c s="1350"/>
      <c s="1350"/>
      <c s="1350"/>
    </row>
    <row r="11" spans="1:21" s="56" customFormat="1" ht="14.25" customHeight="1">
      <c r="A11" s="54"/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5"/>
      <c s="448"/>
      <c s="448"/>
      <c s="448"/>
      <c s="448"/>
    </row>
    <row r="12" spans="1:21" s="56" customFormat="1" ht="1.5" customHeight="1">
      <c r="A12" s="54"/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5"/>
      <c s="448"/>
      <c s="448"/>
      <c s="448"/>
      <c s="448"/>
    </row>
    <row r="13" spans="1:21" s="56" customFormat="1" ht="19.5" customHeight="1">
      <c r="A13" s="473" t="s">
        <v>242</v>
      </c>
      <c s="474"/>
      <c s="474"/>
      <c s="54"/>
      <c s="54"/>
      <c s="54"/>
      <c s="54"/>
      <c s="54"/>
      <c s="54" t="s">
        <v>60</v>
      </c>
      <c s="54"/>
      <c s="54"/>
      <c s="54"/>
      <c s="54"/>
      <c s="54">
        <v>0</v>
      </c>
      <c s="54"/>
      <c s="54"/>
      <c s="5"/>
      <c s="448"/>
      <c s="448"/>
      <c s="448"/>
      <c s="448"/>
    </row>
    <row r="14" spans="1:21" ht="19.5" customHeight="1" thickBot="1">
      <c r="A14" s="450"/>
      <c s="450"/>
      <c s="450"/>
      <c s="450"/>
      <c s="450"/>
      <c s="450"/>
      <c s="450"/>
      <c s="450"/>
      <c s="450"/>
      <c s="450"/>
      <c s="450"/>
      <c s="450"/>
      <c s="450"/>
      <c s="450"/>
      <c s="450"/>
      <c s="450"/>
      <c s="5"/>
      <c s="448"/>
      <c s="449"/>
      <c s="449"/>
      <c s="449"/>
    </row>
    <row r="15" spans="1:22" ht="21" customHeight="1" thickBot="1">
      <c r="A15" s="122" t="s">
        <v>14</v>
      </c>
      <c s="123" t="s">
        <v>399</v>
      </c>
      <c s="123" t="s">
        <v>17</v>
      </c>
      <c s="123" t="s">
        <v>397</v>
      </c>
      <c s="123" t="s">
        <v>19</v>
      </c>
      <c s="123" t="s">
        <v>20</v>
      </c>
      <c s="123" t="s">
        <v>396</v>
      </c>
      <c s="123" t="s">
        <v>22</v>
      </c>
      <c s="123" t="s">
        <v>23</v>
      </c>
      <c s="123" t="s">
        <v>398</v>
      </c>
      <c s="202" t="s">
        <v>145</v>
      </c>
      <c s="202" t="s">
        <v>144</v>
      </c>
      <c s="202" t="s">
        <v>146</v>
      </c>
      <c s="202" t="s">
        <v>147</v>
      </c>
      <c s="202" t="s">
        <v>191</v>
      </c>
      <c s="124" t="s">
        <v>15</v>
      </c>
      <c r="R15" s="135"/>
      <c s="125" t="s">
        <v>66</v>
      </c>
      <c s="126"/>
      <c s="125" t="s">
        <v>25</v>
      </c>
      <c s="125" t="s">
        <v>57</v>
      </c>
    </row>
    <row r="16" spans="1:29" ht="18" customHeight="1">
      <c r="A16" s="133">
        <v>45626</v>
      </c>
      <c s="740">
        <v>21</v>
      </c>
      <c s="740">
        <v>97</v>
      </c>
      <c s="740">
        <v>4830</v>
      </c>
      <c s="740">
        <v>0</v>
      </c>
      <c s="740">
        <v>0</v>
      </c>
      <c s="740">
        <v>1</v>
      </c>
      <c s="740">
        <v>19</v>
      </c>
      <c s="740">
        <v>66</v>
      </c>
      <c s="740">
        <v>4338</v>
      </c>
      <c s="740">
        <v>2</v>
      </c>
      <c s="862">
        <v>32</v>
      </c>
      <c s="740">
        <v>13</v>
      </c>
      <c s="740">
        <v>69</v>
      </c>
      <c s="118">
        <v>0</v>
      </c>
      <c s="119"/>
      <c s="47"/>
      <c s="54"/>
      <c s="127"/>
      <c s="128"/>
      <c s="127"/>
      <c s="129"/>
      <c r="AB16" s="274"/>
      <c s="274"/>
    </row>
    <row r="17" spans="1:29" ht="18" customHeight="1" hidden="1">
      <c r="A17" s="133">
        <v>43241</v>
      </c>
      <c s="118"/>
      <c s="121"/>
      <c s="118"/>
      <c s="121"/>
      <c s="118"/>
      <c s="121"/>
      <c s="118"/>
      <c s="121"/>
      <c s="118"/>
      <c s="121"/>
      <c s="118"/>
      <c s="121"/>
      <c s="118"/>
      <c s="121"/>
      <c s="119"/>
      <c s="47"/>
      <c s="54"/>
      <c s="127"/>
      <c s="128"/>
      <c s="127"/>
      <c s="129"/>
      <c r="AB17" s="274"/>
      <c s="274"/>
    </row>
    <row r="18" spans="1:29" ht="18" customHeight="1" thickBot="1">
      <c r="A18" s="133"/>
      <c s="118">
        <v>0</v>
      </c>
      <c s="121" t="s">
        <v>60</v>
      </c>
      <c s="118">
        <v>0</v>
      </c>
      <c s="121"/>
      <c s="118"/>
      <c s="121"/>
      <c s="118">
        <v>0</v>
      </c>
      <c s="121"/>
      <c s="118">
        <v>0</v>
      </c>
      <c s="121"/>
      <c s="118">
        <v>0</v>
      </c>
      <c s="121"/>
      <c s="118">
        <v>0</v>
      </c>
      <c s="121">
        <v>0</v>
      </c>
      <c s="119">
        <f>SUM(B18:J18)</f>
        <v>0</v>
      </c>
      <c s="47"/>
      <c s="54"/>
      <c s="127"/>
      <c s="127"/>
      <c s="127"/>
      <c s="148">
        <v>0</v>
      </c>
      <c r="AB18" s="274"/>
      <c s="274"/>
    </row>
    <row r="19" spans="1:29" ht="18" customHeight="1" thickBot="1">
      <c r="A19" s="134" t="s">
        <v>24</v>
      </c>
      <c s="120">
        <f>SUM(B16:B18)</f>
        <v>21</v>
      </c>
      <c s="120">
        <f t="shared" si="0" ref="C19:O19">SUM(C16:C18)</f>
        <v>97</v>
      </c>
      <c s="120">
        <f t="shared" si="0"/>
        <v>4830</v>
      </c>
      <c s="120">
        <f t="shared" si="0"/>
        <v>0</v>
      </c>
      <c s="120">
        <f t="shared" si="0"/>
        <v>0</v>
      </c>
      <c s="120">
        <f t="shared" si="0"/>
        <v>1</v>
      </c>
      <c s="120">
        <f t="shared" si="0"/>
        <v>19</v>
      </c>
      <c s="120">
        <f t="shared" si="0"/>
        <v>66</v>
      </c>
      <c s="120">
        <f t="shared" si="0"/>
        <v>4338</v>
      </c>
      <c s="120">
        <f t="shared" si="0"/>
        <v>2</v>
      </c>
      <c s="120">
        <f t="shared" si="0"/>
        <v>32</v>
      </c>
      <c s="120">
        <f t="shared" si="0"/>
        <v>13</v>
      </c>
      <c s="120">
        <f t="shared" si="0"/>
        <v>69</v>
      </c>
      <c s="120">
        <f t="shared" si="0"/>
        <v>0</v>
      </c>
      <c s="119">
        <f>SUM(B19:O19)</f>
        <v>9488</v>
      </c>
      <c s="47"/>
      <c s="55"/>
      <c s="130">
        <v>0</v>
      </c>
      <c s="131">
        <v>0</v>
      </c>
      <c s="130">
        <v>0</v>
      </c>
      <c s="132">
        <f>U19*V16</f>
        <v>0</v>
      </c>
      <c r="AB19" s="274"/>
      <c s="274"/>
    </row>
    <row r="20" spans="1:29" ht="32.25" customHeight="1" thickBot="1">
      <c r="A20" s="1343"/>
      <c s="1343"/>
      <c s="1343"/>
      <c s="1343"/>
      <c s="1343"/>
      <c s="1343"/>
      <c s="1343"/>
      <c s="1343"/>
      <c s="1343"/>
      <c s="1343"/>
      <c s="1343"/>
      <c s="1343"/>
      <c s="1343"/>
      <c s="1343"/>
      <c s="1343"/>
      <c s="1343"/>
      <c>
        <f>+P19/2</f>
        <v>4744</v>
      </c>
      <c s="56"/>
      <c r="V20" s="147">
        <v>0</v>
      </c>
      <c r="AB20" s="274"/>
      <c s="274"/>
    </row>
    <row r="21" spans="9:9" ht="12.75">
      <c r="I21" t="s">
        <v>60</v>
      </c>
    </row>
    <row r="22" spans="3:7" ht="12.75">
      <c r="C22" s="53"/>
      <c r="F22" s="256"/>
      <c t="s">
        <v>60</v>
      </c>
    </row>
    <row r="23" spans="4:6" ht="12.75">
      <c r="D23" s="256"/>
      <c r="F23" s="256"/>
    </row>
    <row r="24" spans="1:6" ht="20.25">
      <c r="A24" s="318" t="s">
        <v>241</v>
      </c>
      <c r="D24" s="114"/>
      <c r="F24" s="114"/>
    </row>
    <row r="25" spans="4:13" ht="13.5" thickBot="1">
      <c r="D25" s="53">
        <v>0</v>
      </c>
      <c r="M25" t="s">
        <v>408</v>
      </c>
    </row>
    <row r="26" spans="1:17" ht="16.5" thickBot="1">
      <c r="A26" s="122" t="s">
        <v>14</v>
      </c>
      <c s="123" t="s">
        <v>16</v>
      </c>
      <c s="123" t="s">
        <v>17</v>
      </c>
      <c s="123" t="s">
        <v>18</v>
      </c>
      <c s="123" t="s">
        <v>461</v>
      </c>
      <c s="123" t="s">
        <v>20</v>
      </c>
      <c s="123" t="s">
        <v>21</v>
      </c>
      <c s="123" t="s">
        <v>22</v>
      </c>
      <c s="123" t="s">
        <v>23</v>
      </c>
      <c s="123" t="s">
        <v>26</v>
      </c>
      <c s="202" t="s">
        <v>145</v>
      </c>
      <c s="202" t="s">
        <v>144</v>
      </c>
      <c s="202" t="s">
        <v>146</v>
      </c>
      <c s="202" t="s">
        <v>147</v>
      </c>
      <c s="202" t="s">
        <v>191</v>
      </c>
      <c s="124" t="s">
        <v>15</v>
      </c>
      <c>
        <f>+P30+J68</f>
        <v>2718</v>
      </c>
    </row>
    <row r="27" spans="1:16" ht="15.75">
      <c r="A27" s="133">
        <f>+A16</f>
        <v>45626</v>
      </c>
      <c s="740"/>
      <c s="753">
        <v>210</v>
      </c>
      <c s="753">
        <v>1233</v>
      </c>
      <c s="753"/>
      <c s="753"/>
      <c s="753"/>
      <c s="753">
        <v>4</v>
      </c>
      <c s="753">
        <v>17</v>
      </c>
      <c s="753">
        <v>943</v>
      </c>
      <c s="753">
        <v>1</v>
      </c>
      <c s="753">
        <v>53</v>
      </c>
      <c s="753"/>
      <c s="753">
        <v>55</v>
      </c>
      <c s="740">
        <v>0</v>
      </c>
      <c s="740">
        <f>SUM(B27:O27)</f>
        <v>2516</v>
      </c>
    </row>
    <row r="28" spans="1:17" ht="15.75">
      <c r="A28" s="133"/>
      <c s="118"/>
      <c s="121">
        <v>0</v>
      </c>
      <c s="118"/>
      <c s="121">
        <v>0</v>
      </c>
      <c s="118"/>
      <c s="121"/>
      <c s="118"/>
      <c s="121"/>
      <c s="118">
        <v>0</v>
      </c>
      <c s="121"/>
      <c s="118">
        <v>0</v>
      </c>
      <c s="121" t="s">
        <v>459</v>
      </c>
      <c s="118">
        <v>0</v>
      </c>
      <c s="121"/>
      <c s="119">
        <v>0</v>
      </c>
      <c>
        <f>83-4</f>
        <v>79</v>
      </c>
    </row>
    <row r="29" spans="1:16" ht="16.5" thickBot="1">
      <c r="A29" s="133"/>
      <c s="118"/>
      <c s="121"/>
      <c s="118"/>
      <c s="121"/>
      <c s="118"/>
      <c s="121"/>
      <c s="118"/>
      <c s="121"/>
      <c s="118"/>
      <c s="121"/>
      <c s="118"/>
      <c s="121"/>
      <c s="118"/>
      <c s="121" t="s">
        <v>60</v>
      </c>
      <c s="119">
        <v>0</v>
      </c>
    </row>
    <row r="30" spans="1:16" ht="16.5" thickBot="1">
      <c r="A30" s="134" t="s">
        <v>24</v>
      </c>
      <c s="120">
        <f>SUM(B27:B29)</f>
        <v>0</v>
      </c>
      <c s="120">
        <f t="shared" si="1" ref="C30:O30">SUM(C27:C29)</f>
        <v>210</v>
      </c>
      <c s="120">
        <f t="shared" si="1"/>
        <v>1233</v>
      </c>
      <c s="120">
        <f t="shared" si="1"/>
        <v>0</v>
      </c>
      <c s="120">
        <f t="shared" si="1"/>
        <v>0</v>
      </c>
      <c s="120">
        <f t="shared" si="1"/>
        <v>0</v>
      </c>
      <c s="120">
        <f t="shared" si="1"/>
        <v>4</v>
      </c>
      <c s="120">
        <f t="shared" si="1"/>
        <v>17</v>
      </c>
      <c s="120">
        <f t="shared" si="1"/>
        <v>943</v>
      </c>
      <c s="120">
        <f t="shared" si="1"/>
        <v>1</v>
      </c>
      <c s="120">
        <f t="shared" si="1"/>
        <v>53</v>
      </c>
      <c s="120">
        <f t="shared" si="1"/>
        <v>0</v>
      </c>
      <c s="120">
        <f t="shared" si="1"/>
        <v>55</v>
      </c>
      <c s="120">
        <f t="shared" si="1"/>
        <v>0</v>
      </c>
      <c s="684">
        <f>SUM(P27:P29)</f>
        <v>2516</v>
      </c>
    </row>
    <row r="31" spans="4:4" ht="12.75">
      <c r="D31" s="1120">
        <f>378375/5045</f>
        <v>75</v>
      </c>
    </row>
    <row r="33" spans="2:9" ht="12.75">
      <c r="B33" s="489" t="s">
        <v>306</v>
      </c>
      <c s="480"/>
      <c s="480"/>
      <c s="480"/>
      <c s="480"/>
      <c s="480"/>
      <c s="480"/>
      <c s="480"/>
    </row>
    <row r="34" spans="2:9" ht="13.5" thickBot="1">
      <c r="B34" s="480"/>
      <c s="480"/>
      <c s="480"/>
      <c s="480"/>
      <c s="480"/>
      <c s="480"/>
      <c s="480"/>
      <c s="480"/>
    </row>
    <row r="35" spans="1:18" ht="28.5" customHeight="1" thickBot="1">
      <c r="A35" s="503" t="s">
        <v>293</v>
      </c>
      <c s="123" t="s">
        <v>16</v>
      </c>
      <c s="123" t="s">
        <v>17</v>
      </c>
      <c s="123" t="s">
        <v>18</v>
      </c>
      <c s="123" t="s">
        <v>19</v>
      </c>
      <c s="123" t="s">
        <v>20</v>
      </c>
      <c s="123" t="s">
        <v>396</v>
      </c>
      <c s="123" t="s">
        <v>22</v>
      </c>
      <c s="123" t="s">
        <v>23</v>
      </c>
      <c s="123" t="s">
        <v>26</v>
      </c>
      <c s="202" t="s">
        <v>145</v>
      </c>
      <c s="202" t="s">
        <v>144</v>
      </c>
      <c s="202" t="s">
        <v>146</v>
      </c>
      <c s="202" t="s">
        <v>147</v>
      </c>
      <c s="202" t="s">
        <v>191</v>
      </c>
      <c s="202" t="s">
        <v>316</v>
      </c>
      <c s="509" t="s">
        <v>294</v>
      </c>
      <c s="504" t="s">
        <v>311</v>
      </c>
    </row>
    <row r="36" spans="2:18" ht="21" customHeight="1">
      <c r="B36" s="606">
        <f>1*6240</f>
        <v>6240</v>
      </c>
      <c s="606">
        <f>1*11240</f>
        <v>11240</v>
      </c>
      <c s="606">
        <f>1*4940</f>
        <v>4940</v>
      </c>
      <c s="606">
        <f>1*4615</f>
        <v>4615</v>
      </c>
      <c s="606">
        <f>1*2840</f>
        <v>2840</v>
      </c>
      <c s="608">
        <f>1*2840</f>
        <v>2840</v>
      </c>
      <c s="607">
        <f>1*500</f>
        <v>500</v>
      </c>
      <c s="607">
        <f>1*700</f>
        <v>700</v>
      </c>
      <c s="607">
        <f>1*700</f>
        <v>700</v>
      </c>
      <c s="607">
        <f>1*4615</f>
        <v>4615</v>
      </c>
      <c s="607">
        <f>1*4615</f>
        <v>4615</v>
      </c>
      <c s="606">
        <f>1*4615</f>
        <v>4615</v>
      </c>
      <c s="606">
        <f>1*700</f>
        <v>700</v>
      </c>
      <c s="606">
        <f>1*6240</f>
        <v>6240</v>
      </c>
      <c s="606">
        <f>1*105</f>
        <v>105</v>
      </c>
      <c s="612"/>
      <c s="488"/>
    </row>
    <row r="37" spans="2:18" s="154" customFormat="1" ht="9" customHeight="1">
      <c r="B37" s="609"/>
      <c s="609"/>
      <c s="609"/>
      <c s="609"/>
      <c s="609"/>
      <c s="610"/>
      <c s="611"/>
      <c s="611"/>
      <c s="611"/>
      <c s="611"/>
      <c s="611"/>
      <c s="609"/>
      <c s="609"/>
      <c s="609"/>
      <c s="609"/>
      <c s="612"/>
      <c s="613"/>
    </row>
    <row r="38" spans="2:18" ht="16.5" thickBot="1">
      <c r="B38" s="614">
        <f>B30*6240</f>
        <v>0</v>
      </c>
      <c s="516"/>
      <c s="516">
        <v>0</v>
      </c>
      <c s="516"/>
      <c s="516">
        <v>0</v>
      </c>
      <c s="517">
        <f>0*2840</f>
        <v>0</v>
      </c>
      <c s="517">
        <v>0</v>
      </c>
      <c s="517">
        <v>0</v>
      </c>
      <c s="517">
        <v>0</v>
      </c>
      <c s="517">
        <v>0</v>
      </c>
      <c s="517">
        <v>0</v>
      </c>
      <c s="516">
        <v>0</v>
      </c>
      <c s="516">
        <v>0</v>
      </c>
      <c s="516">
        <v>0</v>
      </c>
      <c s="516">
        <f>B30*105</f>
        <v>0</v>
      </c>
      <c s="492">
        <f t="shared" si="2" ref="Q38:Q43">SUM(B38:P38)</f>
        <v>0</v>
      </c>
      <c s="494">
        <f>SUM(C52:D52)</f>
        <v>8451420</v>
      </c>
    </row>
    <row r="39" spans="2:20" ht="16.5" thickTop="1">
      <c r="B39" s="516">
        <f>0*6240</f>
        <v>0</v>
      </c>
      <c s="614">
        <f>C30*11240</f>
        <v>2360400</v>
      </c>
      <c s="516"/>
      <c s="516"/>
      <c s="516"/>
      <c s="517"/>
      <c s="517"/>
      <c s="517"/>
      <c s="517"/>
      <c s="517"/>
      <c s="517"/>
      <c s="516"/>
      <c s="516"/>
      <c s="516"/>
      <c s="516">
        <f>C30*105</f>
        <v>22050</v>
      </c>
      <c s="492">
        <f t="shared" si="2"/>
        <v>2382450</v>
      </c>
      <c s="499"/>
      <c r="T39" s="114"/>
    </row>
    <row r="40" spans="2:20" ht="15.75">
      <c r="B40" s="516"/>
      <c s="516"/>
      <c s="614">
        <f>D30*4940</f>
        <v>6091020</v>
      </c>
      <c s="516"/>
      <c s="516"/>
      <c s="517"/>
      <c s="517"/>
      <c s="517"/>
      <c s="517">
        <v>0</v>
      </c>
      <c s="517"/>
      <c s="517"/>
      <c s="516"/>
      <c s="516"/>
      <c s="516"/>
      <c s="516">
        <f>D30*105</f>
        <v>129465</v>
      </c>
      <c s="492">
        <f t="shared" si="2"/>
        <v>6220485</v>
      </c>
      <c s="499"/>
      <c r="T40" s="114"/>
    </row>
    <row r="41" spans="2:18" ht="15.75">
      <c r="B41" s="516"/>
      <c s="516"/>
      <c s="516"/>
      <c s="614">
        <f>E30*4615</f>
        <v>0</v>
      </c>
      <c s="516"/>
      <c s="517"/>
      <c s="517"/>
      <c s="517"/>
      <c s="517"/>
      <c s="517"/>
      <c s="517"/>
      <c s="516"/>
      <c s="516"/>
      <c s="516"/>
      <c s="516">
        <f>E30*105</f>
        <v>0</v>
      </c>
      <c s="492">
        <f t="shared" si="2"/>
        <v>0</v>
      </c>
      <c s="499"/>
    </row>
    <row r="42" spans="2:20" ht="15.75">
      <c r="B42" s="516">
        <f>0*6240</f>
        <v>0</v>
      </c>
      <c s="516"/>
      <c s="516"/>
      <c s="516">
        <v>0</v>
      </c>
      <c s="614">
        <f>F30*2840</f>
        <v>0</v>
      </c>
      <c s="516">
        <f>0*2840</f>
        <v>0</v>
      </c>
      <c s="516">
        <f>0*500</f>
        <v>0</v>
      </c>
      <c s="516">
        <v>0</v>
      </c>
      <c s="516"/>
      <c s="516">
        <f>0*4615</f>
        <v>0</v>
      </c>
      <c s="516"/>
      <c s="516">
        <f>0*4615</f>
        <v>0</v>
      </c>
      <c s="516"/>
      <c s="516"/>
      <c s="516">
        <f>F30*105</f>
        <v>0</v>
      </c>
      <c s="492">
        <f t="shared" si="2"/>
        <v>0</v>
      </c>
      <c s="499"/>
      <c r="T42" s="114"/>
    </row>
    <row r="43" spans="2:18" ht="15.75">
      <c r="B43" s="516"/>
      <c s="516"/>
      <c s="516"/>
      <c s="516"/>
      <c s="516"/>
      <c s="614">
        <f>G30*2840</f>
        <v>0</v>
      </c>
      <c s="516">
        <f>0*500</f>
        <v>0</v>
      </c>
      <c s="516"/>
      <c s="516"/>
      <c s="516">
        <f>0*4615</f>
        <v>0</v>
      </c>
      <c s="516"/>
      <c s="516">
        <f>0*4615</f>
        <v>0</v>
      </c>
      <c s="516"/>
      <c s="516"/>
      <c s="516">
        <f>G30*105</f>
        <v>0</v>
      </c>
      <c s="492">
        <f t="shared" si="2"/>
        <v>0</v>
      </c>
      <c s="499"/>
    </row>
    <row r="44" spans="2:18" ht="15.75">
      <c r="B44" s="516">
        <v>0</v>
      </c>
      <c s="516"/>
      <c s="516"/>
      <c s="516"/>
      <c s="516"/>
      <c s="516">
        <v>0</v>
      </c>
      <c s="614">
        <f>H30*500</f>
        <v>2000</v>
      </c>
      <c s="516"/>
      <c s="516"/>
      <c s="516"/>
      <c s="516"/>
      <c s="516">
        <v>0</v>
      </c>
      <c s="516"/>
      <c s="516"/>
      <c s="516">
        <f>H30*105</f>
        <v>420</v>
      </c>
      <c s="492">
        <f t="shared" si="3" ref="Q44:Q51">SUM(B44:P44)</f>
        <v>2420</v>
      </c>
      <c s="499"/>
    </row>
    <row r="45" spans="2:18" ht="15.75">
      <c r="B45" s="516">
        <v>0</v>
      </c>
      <c s="516"/>
      <c s="516"/>
      <c s="516"/>
      <c s="516"/>
      <c s="516"/>
      <c s="516">
        <v>0</v>
      </c>
      <c s="614">
        <f>I30*700</f>
        <v>11900</v>
      </c>
      <c s="516"/>
      <c s="516"/>
      <c s="516"/>
      <c s="516">
        <f>0*4615</f>
        <v>0</v>
      </c>
      <c s="516"/>
      <c s="516"/>
      <c s="516">
        <f>I30*105</f>
        <v>1785</v>
      </c>
      <c s="492">
        <f t="shared" si="3"/>
        <v>13685</v>
      </c>
      <c s="499"/>
    </row>
    <row r="46" spans="2:19" ht="15.75">
      <c r="B46" s="516"/>
      <c s="516"/>
      <c s="516"/>
      <c s="516"/>
      <c s="516"/>
      <c s="516">
        <f>0*2840</f>
        <v>0</v>
      </c>
      <c s="516"/>
      <c s="516">
        <v>0</v>
      </c>
      <c s="614">
        <f>J30*700</f>
        <v>660100</v>
      </c>
      <c s="516"/>
      <c s="516"/>
      <c s="516"/>
      <c s="516"/>
      <c s="516"/>
      <c s="516">
        <f>J30*105</f>
        <v>99015</v>
      </c>
      <c s="492">
        <f>SUM(B46:P46)</f>
        <v>759115</v>
      </c>
      <c s="499"/>
      <c>
        <f>18/2</f>
        <v>9</v>
      </c>
    </row>
    <row r="47" spans="2:19" ht="15.75">
      <c r="B47" s="516"/>
      <c s="516"/>
      <c s="516" t="s">
        <v>484</v>
      </c>
      <c s="516"/>
      <c s="516"/>
      <c s="516"/>
      <c s="516"/>
      <c s="516"/>
      <c s="516"/>
      <c s="614">
        <f>K30*4615</f>
        <v>4615</v>
      </c>
      <c s="516"/>
      <c s="516"/>
      <c s="516"/>
      <c s="516"/>
      <c s="516">
        <f>K30*105</f>
        <v>105</v>
      </c>
      <c s="492">
        <f>SUM(B47:P47)</f>
        <v>4720</v>
      </c>
      <c s="499"/>
      <c>
        <f>44/2</f>
        <v>22</v>
      </c>
    </row>
    <row r="48" spans="2:18" ht="15.75">
      <c r="B48" s="516"/>
      <c s="516"/>
      <c s="516"/>
      <c s="516"/>
      <c s="516"/>
      <c s="516"/>
      <c s="516"/>
      <c s="516"/>
      <c s="516"/>
      <c s="516"/>
      <c s="614">
        <f>L30*4615</f>
        <v>244595</v>
      </c>
      <c s="516"/>
      <c s="516"/>
      <c s="516"/>
      <c s="516">
        <f>L30*105</f>
        <v>5565</v>
      </c>
      <c s="492">
        <f t="shared" si="3"/>
        <v>250160</v>
      </c>
      <c s="499"/>
    </row>
    <row r="49" spans="2:18" ht="15.75">
      <c r="B49" s="516"/>
      <c s="516"/>
      <c s="516"/>
      <c s="516"/>
      <c s="516"/>
      <c s="516"/>
      <c s="516"/>
      <c s="516"/>
      <c s="516"/>
      <c s="516"/>
      <c s="516"/>
      <c s="614">
        <f>M30*4615</f>
        <v>0</v>
      </c>
      <c s="516"/>
      <c s="516"/>
      <c s="516">
        <f>M30*105</f>
        <v>0</v>
      </c>
      <c s="492">
        <f t="shared" si="3"/>
        <v>0</v>
      </c>
      <c s="499"/>
    </row>
    <row r="50" spans="2:18" ht="15.75">
      <c r="B50" s="516"/>
      <c s="516"/>
      <c s="516"/>
      <c s="516"/>
      <c s="516"/>
      <c s="516"/>
      <c s="516"/>
      <c s="516"/>
      <c s="516"/>
      <c s="516"/>
      <c s="516"/>
      <c s="516"/>
      <c s="614">
        <f>N30*700</f>
        <v>38500</v>
      </c>
      <c s="516"/>
      <c s="516">
        <f>N30*105</f>
        <v>5775</v>
      </c>
      <c s="492">
        <f>SUM(B50:P50)</f>
        <v>44275</v>
      </c>
      <c s="499"/>
    </row>
    <row r="51" spans="2:18" ht="15.75">
      <c r="B51" s="516"/>
      <c s="516"/>
      <c s="516"/>
      <c s="516"/>
      <c s="516"/>
      <c s="516"/>
      <c s="516"/>
      <c s="516"/>
      <c s="516"/>
      <c s="516"/>
      <c s="516"/>
      <c s="516"/>
      <c s="516"/>
      <c s="614">
        <f>O30*6240</f>
        <v>0</v>
      </c>
      <c s="516">
        <f>O30*105</f>
        <v>0</v>
      </c>
      <c s="492">
        <f t="shared" si="3"/>
        <v>0</v>
      </c>
      <c s="499"/>
    </row>
    <row r="52" spans="1:18" ht="21" customHeight="1" thickBot="1">
      <c r="A52" s="479" t="s">
        <v>305</v>
      </c>
      <c s="490">
        <f>SUM(B38:B51)</f>
        <v>0</v>
      </c>
      <c s="490">
        <f>SUM(C38:C51)</f>
        <v>2360400</v>
      </c>
      <c s="490">
        <f>SUM(D38:D51)</f>
        <v>6091020</v>
      </c>
      <c s="490">
        <f t="shared" si="4" ref="E52:O52">SUM(E38:E51)</f>
        <v>0</v>
      </c>
      <c s="490">
        <f t="shared" si="4"/>
        <v>0</v>
      </c>
      <c s="490">
        <f t="shared" si="4"/>
        <v>0</v>
      </c>
      <c s="490">
        <f t="shared" si="4"/>
        <v>2000</v>
      </c>
      <c s="490">
        <f t="shared" si="4"/>
        <v>11900</v>
      </c>
      <c s="490">
        <f t="shared" si="4"/>
        <v>660100</v>
      </c>
      <c s="490">
        <f t="shared" si="4"/>
        <v>4615</v>
      </c>
      <c s="490">
        <f t="shared" si="4"/>
        <v>244595</v>
      </c>
      <c s="490">
        <f t="shared" si="4"/>
        <v>0</v>
      </c>
      <c s="490">
        <f t="shared" si="4"/>
        <v>38500</v>
      </c>
      <c s="490">
        <f t="shared" si="4"/>
        <v>0</v>
      </c>
      <c s="490">
        <f>SUM(P38:P51)</f>
        <v>264180</v>
      </c>
      <c s="491">
        <f>SUM(Q38:Q51)</f>
        <v>9677310</v>
      </c>
      <c s="494">
        <f>Q52+L83</f>
        <v>9687410</v>
      </c>
    </row>
    <row r="53" spans="1:18" ht="24.75" customHeight="1" thickTop="1">
      <c r="A53" s="479" t="s">
        <v>293</v>
      </c>
      <c s="549">
        <f>B52/6240</f>
        <v>0</v>
      </c>
      <c s="549">
        <f>C52/11240</f>
        <v>210</v>
      </c>
      <c s="548">
        <f>D52/4940</f>
        <v>1233</v>
      </c>
      <c s="548">
        <f>E52/4615</f>
        <v>0</v>
      </c>
      <c s="548">
        <f>F52/2840</f>
        <v>0</v>
      </c>
      <c s="548">
        <f>G52/2840</f>
        <v>0</v>
      </c>
      <c s="548">
        <f>H52/500</f>
        <v>4</v>
      </c>
      <c s="548">
        <f>I52/700</f>
        <v>17</v>
      </c>
      <c s="548">
        <f>J52/700</f>
        <v>943</v>
      </c>
      <c s="548">
        <f>K52/4615</f>
        <v>1</v>
      </c>
      <c s="548">
        <f>L52/4615</f>
        <v>53</v>
      </c>
      <c s="548">
        <f>M52/4615</f>
        <v>0</v>
      </c>
      <c s="548">
        <f>N52/700</f>
        <v>55</v>
      </c>
      <c s="548">
        <f>O52/6240</f>
        <v>0</v>
      </c>
      <c s="548">
        <f>P52/105</f>
        <v>2516</v>
      </c>
      <c s="491"/>
      <c s="499"/>
    </row>
    <row r="54" spans="2:20" ht="24.75" customHeight="1">
      <c r="B54" s="114"/>
      <c s="488"/>
      <c s="488"/>
      <c s="488"/>
      <c s="488"/>
      <c s="488"/>
      <c s="488"/>
      <c s="488"/>
      <c s="114"/>
      <c s="114"/>
      <c s="114"/>
      <c s="114"/>
      <c r="O54" s="495"/>
      <c s="488"/>
      <c s="502">
        <f>R52+R54</f>
        <v>12132410</v>
      </c>
      <c s="256">
        <v>2445000</v>
      </c>
      <c s="114"/>
      <c s="114"/>
    </row>
    <row r="55" spans="1:19" s="463" customFormat="1" ht="20.25">
      <c r="A55" s="462" t="s">
        <v>312</v>
      </c>
      <c r="F55" s="464"/>
      <c s="464"/>
      <c s="464"/>
      <c s="464"/>
      <c s="464"/>
      <c r="Q55" s="515"/>
      <c s="743"/>
      <c s="743"/>
    </row>
    <row r="56" spans="7:18" s="463" customFormat="1" ht="19.5" thickBot="1">
      <c r="G56" s="464"/>
      <c s="464"/>
      <c s="464"/>
      <c r="K56" s="532"/>
      <c r="O56" s="510"/>
      <c s="464"/>
      <c s="510">
        <f>+Q54-12132410</f>
        <v>0</v>
      </c>
      <c s="515"/>
    </row>
    <row r="57" spans="1:18" s="463" customFormat="1" ht="20.25" customHeight="1" thickBot="1">
      <c r="A57" s="443" t="s">
        <v>14</v>
      </c>
      <c s="439"/>
      <c s="439"/>
      <c s="439"/>
      <c s="439"/>
      <c s="439"/>
      <c s="439"/>
      <c s="864"/>
      <c s="439"/>
      <c s="439"/>
      <c s="439"/>
      <c s="439"/>
      <c s="439"/>
      <c s="439"/>
      <c s="439"/>
      <c s="440"/>
      <c s="511"/>
      <c s="515"/>
    </row>
    <row r="58" spans="1:18" s="463" customFormat="1" ht="20.25" customHeight="1" thickBot="1">
      <c r="A58" s="444">
        <f>+A27</f>
        <v>45626</v>
      </c>
      <c s="471"/>
      <c s="471"/>
      <c s="471"/>
      <c s="471"/>
      <c s="472"/>
      <c s="1344" t="s">
        <v>292</v>
      </c>
      <c s="1345"/>
      <c s="1346"/>
      <c s="1347" t="s">
        <v>295</v>
      </c>
      <c s="1348"/>
      <c s="1349"/>
      <c s="545"/>
      <c s="441"/>
      <c r="P58" s="526"/>
      <c s="1177"/>
      <c s="464"/>
    </row>
    <row r="59" spans="1:18" s="467" customFormat="1" ht="59.25" customHeight="1" thickBot="1">
      <c r="A59" s="452" t="s">
        <v>296</v>
      </c>
      <c s="451" t="s">
        <v>36</v>
      </c>
      <c s="451"/>
      <c s="451"/>
      <c s="451"/>
      <c s="451" t="s">
        <v>190</v>
      </c>
      <c s="453" t="s">
        <v>293</v>
      </c>
      <c s="453" t="s">
        <v>37</v>
      </c>
      <c s="454" t="s">
        <v>294</v>
      </c>
      <c s="453" t="s">
        <v>293</v>
      </c>
      <c s="453" t="s">
        <v>37</v>
      </c>
      <c s="454" t="s">
        <v>294</v>
      </c>
      <c s="466"/>
      <c r="Q59" s="742"/>
      <c s="742"/>
    </row>
    <row r="60" spans="1:17" s="468" customFormat="1" ht="20.25" customHeight="1">
      <c r="A60" s="48">
        <v>1</v>
      </c>
      <c s="35" t="s">
        <v>285</v>
      </c>
      <c s="290"/>
      <c s="290"/>
      <c s="290"/>
      <c s="290"/>
      <c s="456">
        <v>93</v>
      </c>
      <c s="457">
        <v>5000</v>
      </c>
      <c s="458">
        <f>G60*H60</f>
        <v>465000</v>
      </c>
      <c s="459">
        <v>0</v>
      </c>
      <c s="770">
        <v>5000</v>
      </c>
      <c s="470">
        <f>J60*K60</f>
        <v>0</v>
      </c>
      <c r="N60" s="493"/>
      <c s="710"/>
      <c s="493">
        <v>0</v>
      </c>
      <c s="493"/>
    </row>
    <row r="61" spans="1:18" s="468" customFormat="1" ht="20.25" customHeight="1">
      <c r="A61" s="48">
        <v>2</v>
      </c>
      <c s="35" t="s">
        <v>415</v>
      </c>
      <c s="290"/>
      <c s="290"/>
      <c s="290"/>
      <c s="290"/>
      <c s="456">
        <v>15</v>
      </c>
      <c s="457">
        <v>1500</v>
      </c>
      <c s="458">
        <f t="shared" si="5" ref="I61:I82">G61*H61</f>
        <v>22500</v>
      </c>
      <c s="459">
        <v>0</v>
      </c>
      <c s="770">
        <v>1500</v>
      </c>
      <c s="470">
        <f>J61*K61</f>
        <v>0</v>
      </c>
      <c r="N61" s="493"/>
      <c s="710"/>
      <c s="493">
        <v>0</v>
      </c>
      <c s="493"/>
      <c s="539"/>
    </row>
    <row r="62" spans="1:17" s="468" customFormat="1" ht="20.25" customHeight="1">
      <c r="A62" s="48">
        <v>3</v>
      </c>
      <c s="35" t="s">
        <v>239</v>
      </c>
      <c s="290"/>
      <c s="290"/>
      <c s="290"/>
      <c s="290"/>
      <c s="456">
        <v>13</v>
      </c>
      <c s="457">
        <v>1500</v>
      </c>
      <c s="458">
        <f t="shared" si="5"/>
        <v>19500</v>
      </c>
      <c s="459">
        <v>0</v>
      </c>
      <c s="770">
        <v>1500</v>
      </c>
      <c s="470">
        <f t="shared" si="6" ref="L62:L82">J62*K62</f>
        <v>0</v>
      </c>
      <c r="N62" s="493"/>
      <c s="493"/>
      <c s="493"/>
      <c s="493"/>
    </row>
    <row r="63" spans="1:17" s="468" customFormat="1" ht="20.25" customHeight="1">
      <c r="A63" s="48">
        <v>4</v>
      </c>
      <c s="35" t="s">
        <v>313</v>
      </c>
      <c s="290"/>
      <c s="290"/>
      <c s="290"/>
      <c s="290"/>
      <c s="456">
        <v>0</v>
      </c>
      <c s="457">
        <v>1500</v>
      </c>
      <c s="458">
        <f t="shared" si="5"/>
        <v>0</v>
      </c>
      <c s="459">
        <v>0</v>
      </c>
      <c s="770">
        <v>1500</v>
      </c>
      <c s="470">
        <f t="shared" si="6"/>
        <v>0</v>
      </c>
      <c r="N63" s="493"/>
      <c s="493"/>
      <c s="493"/>
      <c s="493"/>
    </row>
    <row r="64" spans="1:17" s="468" customFormat="1" ht="20.25" customHeight="1">
      <c r="A64" s="48">
        <v>7</v>
      </c>
      <c s="35" t="s">
        <v>297</v>
      </c>
      <c s="290"/>
      <c s="290"/>
      <c s="290"/>
      <c s="290"/>
      <c s="456">
        <v>0</v>
      </c>
      <c s="457">
        <v>1500</v>
      </c>
      <c s="458">
        <f t="shared" si="5"/>
        <v>0</v>
      </c>
      <c s="459">
        <v>0</v>
      </c>
      <c s="770">
        <v>1500</v>
      </c>
      <c s="470">
        <f t="shared" si="6"/>
        <v>0</v>
      </c>
      <c r="N64" s="493"/>
      <c s="493"/>
      <c s="493"/>
      <c s="493"/>
    </row>
    <row r="65" spans="1:17" s="468" customFormat="1" ht="20.25" customHeight="1">
      <c r="A65" s="48">
        <v>8</v>
      </c>
      <c s="35" t="s">
        <v>322</v>
      </c>
      <c s="290"/>
      <c s="290"/>
      <c s="290"/>
      <c s="290"/>
      <c s="456">
        <v>0</v>
      </c>
      <c s="457">
        <v>3000</v>
      </c>
      <c s="458">
        <f t="shared" si="5"/>
        <v>0</v>
      </c>
      <c s="459">
        <v>0</v>
      </c>
      <c s="770">
        <v>3000</v>
      </c>
      <c s="470">
        <f t="shared" si="6"/>
        <v>0</v>
      </c>
      <c r="N65" s="493"/>
      <c s="493"/>
      <c s="493"/>
      <c s="493"/>
    </row>
    <row r="66" spans="1:17" s="468" customFormat="1" ht="20.25" customHeight="1">
      <c r="A66" s="48">
        <v>9</v>
      </c>
      <c s="35" t="s">
        <v>322</v>
      </c>
      <c s="290"/>
      <c s="290"/>
      <c s="290"/>
      <c s="290"/>
      <c s="456">
        <v>0</v>
      </c>
      <c s="457">
        <v>5000</v>
      </c>
      <c s="458">
        <f t="shared" si="5"/>
        <v>0</v>
      </c>
      <c s="459">
        <v>0</v>
      </c>
      <c s="770">
        <v>5000</v>
      </c>
      <c s="470">
        <f t="shared" si="6"/>
        <v>0</v>
      </c>
      <c r="N66" s="493"/>
      <c s="493"/>
      <c s="493"/>
      <c s="493"/>
    </row>
    <row r="67" spans="1:17" s="468" customFormat="1" ht="20.25" customHeight="1">
      <c r="A67" s="48">
        <v>10</v>
      </c>
      <c s="35" t="s">
        <v>318</v>
      </c>
      <c s="290"/>
      <c s="290"/>
      <c s="290"/>
      <c s="290"/>
      <c s="456">
        <v>1</v>
      </c>
      <c s="457">
        <v>1000</v>
      </c>
      <c s="458">
        <f t="shared" si="5"/>
        <v>1000</v>
      </c>
      <c s="459">
        <v>0</v>
      </c>
      <c s="770">
        <v>1000</v>
      </c>
      <c s="470">
        <f t="shared" si="6"/>
        <v>0</v>
      </c>
      <c r="N67" s="493"/>
      <c s="493"/>
      <c s="493"/>
      <c s="493"/>
    </row>
    <row r="68" spans="1:17" s="468" customFormat="1" ht="20.25" customHeight="1">
      <c r="A68" s="48">
        <v>11</v>
      </c>
      <c s="35" t="s">
        <v>233</v>
      </c>
      <c s="290"/>
      <c s="290"/>
      <c s="290"/>
      <c s="290"/>
      <c s="456">
        <v>36</v>
      </c>
      <c s="457">
        <v>50</v>
      </c>
      <c s="458">
        <f t="shared" si="5"/>
        <v>1800</v>
      </c>
      <c s="459">
        <v>202</v>
      </c>
      <c s="770">
        <v>50</v>
      </c>
      <c s="470">
        <f t="shared" si="6"/>
        <v>10100</v>
      </c>
      <c s="468" t="s">
        <v>60</v>
      </c>
      <c s="493"/>
      <c s="493"/>
      <c s="493"/>
      <c s="493"/>
    </row>
    <row r="69" spans="1:17" s="468" customFormat="1" ht="20.25" customHeight="1">
      <c r="A69" s="48">
        <v>16</v>
      </c>
      <c s="35" t="s">
        <v>237</v>
      </c>
      <c s="290"/>
      <c s="290"/>
      <c s="290"/>
      <c s="290"/>
      <c s="456">
        <v>44</v>
      </c>
      <c s="457">
        <v>1000</v>
      </c>
      <c s="458">
        <f t="shared" si="5"/>
        <v>44000</v>
      </c>
      <c s="459">
        <v>0</v>
      </c>
      <c s="770">
        <v>1000</v>
      </c>
      <c s="470">
        <f t="shared" si="6"/>
        <v>0</v>
      </c>
      <c r="O69" s="493"/>
      <c s="493"/>
      <c s="493"/>
    </row>
    <row r="70" spans="1:17" s="468" customFormat="1" ht="20.25" customHeight="1">
      <c r="A70" s="48">
        <v>19</v>
      </c>
      <c s="35" t="s">
        <v>291</v>
      </c>
      <c s="290"/>
      <c s="290"/>
      <c s="290"/>
      <c s="290"/>
      <c s="456">
        <v>0</v>
      </c>
      <c s="457">
        <v>500</v>
      </c>
      <c s="458">
        <f t="shared" si="5"/>
        <v>0</v>
      </c>
      <c s="459">
        <v>0</v>
      </c>
      <c s="770">
        <v>500</v>
      </c>
      <c s="470">
        <f t="shared" si="6"/>
        <v>0</v>
      </c>
      <c r="O70" s="493"/>
      <c s="493"/>
      <c s="493"/>
    </row>
    <row r="71" spans="1:17" s="468" customFormat="1" ht="20.25" customHeight="1">
      <c r="A71" s="48">
        <v>20</v>
      </c>
      <c s="35" t="s">
        <v>326</v>
      </c>
      <c s="290"/>
      <c s="290"/>
      <c s="290"/>
      <c s="290"/>
      <c s="456">
        <v>0</v>
      </c>
      <c s="457">
        <v>500</v>
      </c>
      <c s="458">
        <f t="shared" si="5"/>
        <v>0</v>
      </c>
      <c s="459">
        <v>0</v>
      </c>
      <c s="770">
        <v>500</v>
      </c>
      <c s="470">
        <f t="shared" si="6"/>
        <v>0</v>
      </c>
      <c r="P71" s="493"/>
      <c s="493"/>
    </row>
    <row r="72" spans="1:17" s="468" customFormat="1" ht="20.25" customHeight="1">
      <c r="A72" s="48">
        <v>21</v>
      </c>
      <c s="35" t="s">
        <v>623</v>
      </c>
      <c s="290"/>
      <c s="290"/>
      <c s="290"/>
      <c s="290"/>
      <c s="456">
        <v>1</v>
      </c>
      <c s="457">
        <v>500</v>
      </c>
      <c s="458">
        <f t="shared" si="5"/>
        <v>500</v>
      </c>
      <c s="459">
        <v>0</v>
      </c>
      <c s="770">
        <v>500</v>
      </c>
      <c s="470">
        <f t="shared" si="6"/>
        <v>0</v>
      </c>
      <c r="N72" s="539"/>
      <c r="P72" s="493"/>
      <c s="493"/>
    </row>
    <row r="73" spans="1:17" s="468" customFormat="1" ht="20.25" customHeight="1">
      <c r="A73" s="48">
        <v>22</v>
      </c>
      <c s="35" t="s">
        <v>440</v>
      </c>
      <c s="290"/>
      <c s="290"/>
      <c s="290"/>
      <c s="290"/>
      <c s="456">
        <v>0</v>
      </c>
      <c s="457">
        <v>1000</v>
      </c>
      <c s="458">
        <f t="shared" si="5"/>
        <v>0</v>
      </c>
      <c s="459">
        <v>0</v>
      </c>
      <c s="770">
        <v>1000</v>
      </c>
      <c s="470">
        <f t="shared" si="6"/>
        <v>0</v>
      </c>
      <c r="N73" s="493"/>
      <c r="P73" s="493"/>
      <c s="493"/>
    </row>
    <row r="74" spans="1:17" s="468" customFormat="1" ht="20.25" customHeight="1">
      <c r="A74" s="48">
        <v>23</v>
      </c>
      <c s="35" t="s">
        <v>290</v>
      </c>
      <c s="290"/>
      <c s="290"/>
      <c s="290"/>
      <c s="290" t="s">
        <v>668</v>
      </c>
      <c s="456">
        <v>39</v>
      </c>
      <c s="457">
        <v>1000</v>
      </c>
      <c s="458">
        <f t="shared" si="5"/>
        <v>39000</v>
      </c>
      <c s="459">
        <v>0</v>
      </c>
      <c s="770">
        <v>1000</v>
      </c>
      <c s="470">
        <f t="shared" si="6"/>
        <v>0</v>
      </c>
      <c s="4"/>
      <c s="1117"/>
      <c s="533"/>
      <c s="535"/>
      <c s="493"/>
    </row>
    <row r="75" spans="1:17" s="468" customFormat="1" ht="20.25" customHeight="1">
      <c r="A75" s="48">
        <v>29</v>
      </c>
      <c s="35" t="s">
        <v>286</v>
      </c>
      <c s="290"/>
      <c s="290"/>
      <c s="290"/>
      <c s="290"/>
      <c s="456">
        <v>7</v>
      </c>
      <c s="457">
        <v>2142.857</v>
      </c>
      <c s="458">
        <f t="shared" si="5"/>
        <v>14999.999</v>
      </c>
      <c s="459">
        <v>0</v>
      </c>
      <c s="770">
        <v>3000</v>
      </c>
      <c s="470">
        <f t="shared" si="6"/>
        <v>0</v>
      </c>
      <c r="O75" s="468" t="s">
        <v>60</v>
      </c>
      <c s="535"/>
      <c s="493"/>
    </row>
    <row r="76" spans="1:17" s="468" customFormat="1" ht="20.25" customHeight="1">
      <c r="A76" s="48">
        <v>31</v>
      </c>
      <c s="35" t="s">
        <v>289</v>
      </c>
      <c s="290"/>
      <c s="290"/>
      <c s="290"/>
      <c s="290"/>
      <c s="456">
        <v>0</v>
      </c>
      <c s="457">
        <v>5000</v>
      </c>
      <c s="458">
        <f t="shared" si="5"/>
        <v>0</v>
      </c>
      <c s="459">
        <v>0</v>
      </c>
      <c s="770">
        <v>5000</v>
      </c>
      <c s="470">
        <f t="shared" si="6"/>
        <v>0</v>
      </c>
      <c r="O76" s="493"/>
      <c s="493"/>
      <c s="493"/>
    </row>
    <row r="77" spans="1:17" s="468" customFormat="1" ht="20.25" customHeight="1">
      <c r="A77" s="48">
        <v>35</v>
      </c>
      <c s="35" t="s">
        <v>304</v>
      </c>
      <c s="290"/>
      <c s="290"/>
      <c s="290"/>
      <c s="290"/>
      <c s="456">
        <v>0</v>
      </c>
      <c s="457">
        <v>5250</v>
      </c>
      <c s="458">
        <f t="shared" si="5"/>
        <v>0</v>
      </c>
      <c s="459">
        <v>0</v>
      </c>
      <c s="770">
        <v>5250</v>
      </c>
      <c s="470">
        <f t="shared" si="6"/>
        <v>0</v>
      </c>
      <c r="O77" s="493"/>
      <c s="493"/>
      <c s="493"/>
    </row>
    <row r="78" spans="1:15" s="468" customFormat="1" ht="20.25" customHeight="1">
      <c r="A78" s="48">
        <v>37</v>
      </c>
      <c s="35" t="s">
        <v>238</v>
      </c>
      <c s="290"/>
      <c s="290"/>
      <c s="290"/>
      <c s="290"/>
      <c s="456">
        <v>15</v>
      </c>
      <c s="457">
        <v>3400</v>
      </c>
      <c s="458">
        <f t="shared" si="5"/>
        <v>51000</v>
      </c>
      <c s="459">
        <v>0</v>
      </c>
      <c s="770">
        <v>6000</v>
      </c>
      <c s="470">
        <f t="shared" si="6"/>
        <v>0</v>
      </c>
      <c r="O78" s="493"/>
    </row>
    <row r="79" spans="1:17" s="468" customFormat="1" ht="20.25" customHeight="1">
      <c r="A79" s="48">
        <v>42</v>
      </c>
      <c s="35" t="s">
        <v>232</v>
      </c>
      <c s="290"/>
      <c s="290"/>
      <c s="290"/>
      <c s="290"/>
      <c s="456">
        <v>0</v>
      </c>
      <c s="457">
        <v>100</v>
      </c>
      <c s="458">
        <f t="shared" si="5"/>
        <v>0</v>
      </c>
      <c s="459">
        <v>0</v>
      </c>
      <c s="770">
        <v>100</v>
      </c>
      <c s="470">
        <f t="shared" si="6"/>
        <v>0</v>
      </c>
      <c r="O79" s="493"/>
      <c r="Q79" s="539"/>
    </row>
    <row r="80" spans="1:15" s="468" customFormat="1" ht="20.25" customHeight="1">
      <c r="A80" s="48">
        <v>47</v>
      </c>
      <c s="35" t="s">
        <v>288</v>
      </c>
      <c s="290"/>
      <c s="290"/>
      <c s="290"/>
      <c s="290"/>
      <c s="456">
        <v>0</v>
      </c>
      <c s="457">
        <v>1500</v>
      </c>
      <c s="458">
        <f t="shared" si="5"/>
        <v>0</v>
      </c>
      <c s="459">
        <v>0</v>
      </c>
      <c s="770">
        <v>1500</v>
      </c>
      <c s="470">
        <f t="shared" si="6"/>
        <v>0</v>
      </c>
      <c s="4"/>
      <c r="O80" s="533"/>
    </row>
    <row r="81" spans="1:17" s="468" customFormat="1" ht="20.25" customHeight="1">
      <c r="A81" s="48">
        <v>55</v>
      </c>
      <c s="35" t="s">
        <v>287</v>
      </c>
      <c s="290"/>
      <c s="290"/>
      <c s="290"/>
      <c s="290"/>
      <c s="456">
        <v>0</v>
      </c>
      <c s="457">
        <v>60352</v>
      </c>
      <c s="458">
        <f t="shared" si="5"/>
        <v>0</v>
      </c>
      <c s="459">
        <v>0</v>
      </c>
      <c s="770">
        <v>15000</v>
      </c>
      <c s="470">
        <f t="shared" si="6"/>
        <v>0</v>
      </c>
      <c r="N81" s="493"/>
      <c s="493" t="s">
        <v>60</v>
      </c>
      <c r="Q81" s="543"/>
    </row>
    <row r="82" spans="1:17" s="468" customFormat="1" ht="20.25" customHeight="1">
      <c r="A82" s="48">
        <v>59</v>
      </c>
      <c s="35" t="s">
        <v>486</v>
      </c>
      <c s="290"/>
      <c s="290"/>
      <c s="290"/>
      <c s="290"/>
      <c s="456">
        <v>0</v>
      </c>
      <c s="457">
        <v>1500</v>
      </c>
      <c s="458">
        <f t="shared" si="5"/>
        <v>0</v>
      </c>
      <c s="459">
        <v>0</v>
      </c>
      <c s="770">
        <v>1500</v>
      </c>
      <c s="470">
        <f t="shared" si="6"/>
        <v>0</v>
      </c>
      <c r="N82" s="493"/>
      <c s="493"/>
      <c r="Q82" s="543"/>
    </row>
    <row r="83" spans="1:15" s="468" customFormat="1" ht="20.25" customHeight="1" thickBot="1">
      <c r="A83" s="82" t="s">
        <v>296</v>
      </c>
      <c s="290"/>
      <c s="82"/>
      <c s="82"/>
      <c s="82"/>
      <c s="82" t="s">
        <v>201</v>
      </c>
      <c s="455">
        <f>SUM(G60:G82)</f>
        <v>264</v>
      </c>
      <c s="460"/>
      <c s="461">
        <f>SUM(I60:I82)</f>
        <v>659299.99899999995</v>
      </c>
      <c s="455">
        <f>SUM(J60:J82)</f>
        <v>202</v>
      </c>
      <c s="469"/>
      <c s="469">
        <f>SUM(L60:L82)</f>
        <v>10100</v>
      </c>
      <c r="N83" s="493"/>
      <c s="493"/>
    </row>
    <row r="84" spans="1:17" s="463" customFormat="1" ht="16.5" thickTop="1">
      <c r="A84" s="442"/>
      <c s="441"/>
      <c s="441"/>
      <c s="441"/>
      <c s="441"/>
      <c s="441"/>
      <c s="441"/>
      <c s="441"/>
      <c s="441"/>
      <c s="441"/>
      <c s="441"/>
      <c s="441"/>
      <c s="468"/>
      <c s="468"/>
      <c s="533"/>
      <c s="438"/>
      <c s="515"/>
    </row>
    <row r="85" spans="1:17" s="463" customFormat="1" ht="15.75">
      <c r="A85" s="442"/>
      <c s="441"/>
      <c s="441"/>
      <c s="441"/>
      <c s="441"/>
      <c s="441"/>
      <c s="441"/>
      <c s="540"/>
      <c s="540"/>
      <c s="441"/>
      <c s="441"/>
      <c s="441"/>
      <c s="441"/>
      <c s="441"/>
      <c s="441"/>
      <c s="602"/>
      <c s="464"/>
    </row>
    <row r="86" spans="1:17" s="463" customFormat="1" ht="15.75">
      <c r="A86" s="442"/>
      <c s="441"/>
      <c s="441"/>
      <c s="441"/>
      <c s="441"/>
      <c s="441"/>
      <c s="441"/>
      <c s="540"/>
      <c s="540"/>
      <c s="441"/>
      <c s="441"/>
      <c s="441"/>
      <c s="441"/>
      <c s="441"/>
      <c s="441"/>
      <c s="438"/>
      <c s="464"/>
    </row>
    <row r="87" spans="1:16" s="463" customFormat="1" ht="21" customHeight="1">
      <c r="A87" s="442"/>
      <c s="441"/>
      <c s="441"/>
      <c s="441"/>
      <c s="441"/>
      <c s="441"/>
      <c s="441"/>
      <c s="441"/>
      <c s="526" t="s">
        <v>60</v>
      </c>
      <c s="441"/>
      <c s="441"/>
      <c s="441"/>
      <c s="441"/>
      <c s="441"/>
      <c s="441"/>
      <c s="438"/>
    </row>
    <row r="88" spans="11:23" s="463" customFormat="1" ht="12.75">
      <c r="K88" s="465"/>
      <c s="465"/>
      <c s="465"/>
      <c s="465"/>
      <c s="465"/>
      <c s="465"/>
      <c s="465"/>
      <c s="465"/>
      <c s="465"/>
      <c s="465"/>
      <c s="465"/>
      <c s="465"/>
      <c s="465"/>
    </row>
    <row r="89" spans="1:29" ht="18.75">
      <c r="A89" s="1351" t="s">
        <v>460</v>
      </c>
      <c s="1352"/>
      <c s="1352"/>
      <c s="1352"/>
      <c s="1352"/>
      <c s="1352"/>
      <c s="1352"/>
      <c s="1352"/>
      <c s="1352"/>
      <c s="1352"/>
      <c s="1352"/>
      <c s="1352"/>
      <c s="1352"/>
      <c s="1352"/>
      <c s="1352"/>
      <c s="1352"/>
      <c r="AB89" s="274"/>
      <c s="274"/>
    </row>
    <row r="90" spans="1:16" ht="18.75">
      <c r="A90" s="1353" t="s">
        <v>494</v>
      </c>
      <c s="1353"/>
      <c s="1353"/>
      <c s="1353"/>
      <c s="1353"/>
      <c s="1353"/>
      <c s="1353"/>
      <c s="1353"/>
      <c s="1353"/>
      <c s="1353"/>
      <c s="1353"/>
      <c s="1353"/>
      <c s="1353"/>
      <c s="1353"/>
      <c s="1353"/>
      <c s="1353"/>
    </row>
  </sheetData>
  <mergeCells count="11">
    <mergeCell ref="G58:I58"/>
    <mergeCell ref="J58:L58"/>
    <mergeCell ref="R10:U10"/>
    <mergeCell ref="A89:P89"/>
    <mergeCell ref="A90:P90"/>
    <mergeCell ref="A1:P1"/>
    <mergeCell ref="A3:J3"/>
    <mergeCell ref="A10:P10"/>
    <mergeCell ref="A20:P20"/>
    <mergeCell ref="A4:J4"/>
    <mergeCell ref="A2:P2"/>
  </mergeCells>
  <printOptions horizontalCentered="1"/>
  <pageMargins left="0.34" right="0.33" top="0.984251968503937" bottom="0.984251968503937" header="0" footer="0"/>
  <pageSetup orientation="landscape" paperSize="9" scale="3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2">
    <tabColor indexed="17"/>
  </sheetPr>
  <dimension ref="A1:AC204"/>
  <sheetViews>
    <sheetView workbookViewId="0" topLeftCell="D49">
      <selection pane="topLeft" activeCell="J11" sqref="J11"/>
    </sheetView>
  </sheetViews>
  <sheetFormatPr defaultRowHeight="12.75"/>
  <cols>
    <col min="1" max="1" width="59.8571428571429" customWidth="1"/>
    <col min="2" max="2" width="28.4285714285714" customWidth="1"/>
    <col min="3" max="3" width="23.8571428571429" bestFit="1" customWidth="1"/>
    <col min="4" max="4" width="29.2857142857143" customWidth="1"/>
    <col min="5" max="6" width="27.1428571428571" customWidth="1"/>
    <col min="7" max="7" width="23.8571428571429" bestFit="1" customWidth="1"/>
    <col min="8" max="8" width="23.8571428571429" customWidth="1"/>
    <col min="9" max="9" width="25.2857142857143" customWidth="1"/>
    <col min="10" max="10" width="29.8571428571429" customWidth="1"/>
    <col min="11" max="11" width="36.2857142857143" customWidth="1"/>
    <col min="12" max="12" width="22.7142857142857" style="251" customWidth="1"/>
    <col min="13" max="13" width="20.2857142857143" style="251" customWidth="1"/>
    <col min="14" max="16" width="20.2857142857143" customWidth="1"/>
    <col min="17" max="17" width="15.8571428571429" customWidth="1"/>
    <col min="18" max="18" width="15" customWidth="1"/>
    <col min="20" max="20" width="16.2857142857143" customWidth="1"/>
    <col min="21" max="21" width="16.8571428571429" customWidth="1"/>
    <col min="25" max="25" width="13.4285714285714" customWidth="1"/>
  </cols>
  <sheetData>
    <row r="1" spans="1:17" ht="20.25" customHeight="1">
      <c r="A1" s="1354" t="s">
        <v>2</v>
      </c>
      <c s="1354"/>
      <c s="1354"/>
      <c s="1354"/>
      <c s="1354"/>
      <c s="1354"/>
      <c s="1354"/>
      <c s="1354"/>
      <c s="1354"/>
      <c s="1354"/>
      <c s="1354"/>
      <c s="553"/>
      <c s="164"/>
      <c s="164"/>
      <c s="164"/>
      <c s="164"/>
      <c s="164"/>
    </row>
    <row r="2" spans="1:17" s="116" customFormat="1" ht="33">
      <c r="A2" s="1355" t="s">
        <v>58</v>
      </c>
      <c s="1355"/>
      <c s="1355"/>
      <c s="1355"/>
      <c s="1355"/>
      <c s="1355"/>
      <c s="1355"/>
      <c s="1355"/>
      <c s="1355"/>
      <c s="1355"/>
      <c s="1355"/>
      <c s="554"/>
      <c s="165"/>
      <c s="165"/>
      <c s="165"/>
      <c s="165"/>
      <c s="165"/>
    </row>
    <row r="3" spans="1:17" s="117" customFormat="1" ht="27">
      <c r="A3" s="1356" t="s">
        <v>99</v>
      </c>
      <c s="1356"/>
      <c s="1356"/>
      <c s="1356"/>
      <c s="1356"/>
      <c s="1356"/>
      <c s="1356"/>
      <c s="1356"/>
      <c s="1356"/>
      <c s="1356"/>
      <c s="1356"/>
      <c s="555"/>
      <c s="167"/>
      <c s="167"/>
      <c s="167"/>
      <c s="167"/>
      <c s="167"/>
    </row>
    <row r="4" spans="1:17" s="117" customFormat="1" ht="20.25">
      <c r="A4" s="1357" t="s">
        <v>59</v>
      </c>
      <c s="1357"/>
      <c s="1357"/>
      <c s="1357"/>
      <c s="1357"/>
      <c s="1357"/>
      <c s="1357"/>
      <c s="1357"/>
      <c s="1357"/>
      <c s="1357"/>
      <c s="1357"/>
      <c s="556"/>
      <c s="166"/>
      <c s="166"/>
      <c s="166"/>
      <c s="166"/>
      <c s="166"/>
    </row>
    <row r="5" spans="1:17" s="117" customFormat="1" ht="20.25">
      <c r="A5" s="1357" t="s">
        <v>633</v>
      </c>
      <c s="1357"/>
      <c s="1357"/>
      <c s="1357"/>
      <c s="1357"/>
      <c s="1357"/>
      <c s="1357"/>
      <c s="1357"/>
      <c s="1357"/>
      <c s="1357"/>
      <c s="1357"/>
      <c s="556"/>
      <c s="166"/>
      <c s="166"/>
      <c s="166"/>
      <c s="166"/>
      <c s="166"/>
    </row>
    <row r="6" spans="1:17" s="117" customFormat="1" ht="20.25">
      <c r="A6" s="1362" t="s">
        <v>67</v>
      </c>
      <c s="1362"/>
      <c s="1362"/>
      <c s="1362"/>
      <c s="1362"/>
      <c s="1362"/>
      <c s="1362"/>
      <c s="1362"/>
      <c s="1362"/>
      <c s="1362"/>
      <c s="1362"/>
      <c s="557"/>
      <c s="163"/>
      <c s="163"/>
      <c s="163"/>
      <c s="163"/>
      <c s="163"/>
    </row>
    <row r="7" spans="1:13" s="117" customFormat="1" ht="20.25" hidden="1">
      <c r="A7" s="163"/>
      <c s="163"/>
      <c s="163"/>
      <c s="163"/>
      <c s="163"/>
      <c s="163"/>
      <c s="163"/>
      <c s="163"/>
      <c s="163"/>
      <c s="163"/>
      <c s="163"/>
      <c s="569"/>
      <c s="570"/>
    </row>
    <row r="8" spans="1:16" ht="36.75" customHeight="1" thickBot="1">
      <c r="A8" s="1358" t="s">
        <v>173</v>
      </c>
      <c s="1358"/>
      <c s="1358"/>
      <c s="1358"/>
      <c s="1358"/>
      <c s="1358"/>
      <c s="1358"/>
      <c s="1358"/>
      <c s="1358"/>
      <c s="1358"/>
      <c s="1358"/>
      <c s="558"/>
      <c s="173"/>
      <c s="168"/>
      <c s="168"/>
      <c s="168"/>
    </row>
    <row r="9" spans="1:16" ht="79.5" customHeight="1" thickBot="1">
      <c r="A9" s="1363" t="s">
        <v>212</v>
      </c>
      <c s="1365" t="s">
        <v>168</v>
      </c>
      <c s="1365"/>
      <c s="1366"/>
      <c s="1367" t="s">
        <v>308</v>
      </c>
      <c s="1365"/>
      <c s="1365"/>
      <c s="1365"/>
      <c s="1365"/>
      <c s="1363" t="s">
        <v>354</v>
      </c>
      <c s="1368" t="s">
        <v>355</v>
      </c>
      <c s="559"/>
      <c s="169"/>
      <c s="169"/>
      <c s="169"/>
      <c s="169"/>
    </row>
    <row r="10" spans="1:18" ht="82.5" customHeight="1">
      <c r="A10" s="1364"/>
      <c s="551" t="s">
        <v>278</v>
      </c>
      <c s="550" t="s">
        <v>279</v>
      </c>
      <c s="550" t="s">
        <v>280</v>
      </c>
      <c s="476" t="s">
        <v>356</v>
      </c>
      <c s="550" t="s">
        <v>281</v>
      </c>
      <c s="550" t="s">
        <v>278</v>
      </c>
      <c s="550" t="s">
        <v>279</v>
      </c>
      <c s="552" t="s">
        <v>247</v>
      </c>
      <c s="1364"/>
      <c s="1369"/>
      <c s="617"/>
      <c s="171" t="s">
        <v>401</v>
      </c>
      <c s="547">
        <v>24600</v>
      </c>
      <c s="170"/>
      <c s="170"/>
      <c r="R10" s="114"/>
    </row>
    <row r="11" spans="1:18" ht="18" customHeight="1">
      <c r="A11" s="60" t="s">
        <v>651</v>
      </c>
      <c s="546">
        <v>321075</v>
      </c>
      <c s="546">
        <v>17600</v>
      </c>
      <c s="546">
        <v>519340</v>
      </c>
      <c s="638">
        <v>200</v>
      </c>
      <c s="546">
        <v>242655.13</v>
      </c>
      <c s="546">
        <v>135775</v>
      </c>
      <c s="547">
        <v>10400</v>
      </c>
      <c s="547">
        <v>9964.8799999999992</v>
      </c>
      <c s="547">
        <f>19550</f>
        <v>19550</v>
      </c>
      <c s="562">
        <f>+B11+C11+D11+E11+F11+G11+H11+I11+J11</f>
        <v>1276560.0099999998</v>
      </c>
      <c s="171"/>
      <c s="171"/>
      <c s="546"/>
      <c s="171"/>
      <c s="171"/>
      <c s="171"/>
      <c s="114"/>
    </row>
    <row r="12" spans="1:23" ht="18" customHeight="1">
      <c r="A12" s="60" t="s">
        <v>659</v>
      </c>
      <c s="546">
        <v>600350</v>
      </c>
      <c s="546">
        <v>6400</v>
      </c>
      <c s="546">
        <v>953120</v>
      </c>
      <c s="546">
        <v>450</v>
      </c>
      <c s="546">
        <v>217966.5</v>
      </c>
      <c s="546">
        <v>102900</v>
      </c>
      <c s="546">
        <v>12000</v>
      </c>
      <c s="546">
        <v>8523.5</v>
      </c>
      <c s="546">
        <v>91100</v>
      </c>
      <c s="562">
        <f t="shared" si="0" ref="K12:K17">+B12+C12+D12+E12+F12+G12+H12+I12+J12</f>
        <v>1992810</v>
      </c>
      <c s="171"/>
      <c s="171"/>
      <c s="538"/>
      <c s="538"/>
      <c s="538"/>
      <c s="538"/>
      <c s="538"/>
      <c s="538"/>
      <c s="538"/>
      <c s="56"/>
      <c s="56"/>
      <c s="56"/>
    </row>
    <row r="13" spans="1:23" ht="18" customHeight="1">
      <c r="A13" s="60" t="s">
        <v>662</v>
      </c>
      <c s="677">
        <v>329875</v>
      </c>
      <c s="677">
        <v>800</v>
      </c>
      <c s="677">
        <v>513700</v>
      </c>
      <c s="677">
        <v>450</v>
      </c>
      <c s="677">
        <v>204978.25</v>
      </c>
      <c s="677">
        <v>114400</v>
      </c>
      <c s="1119">
        <v>6400</v>
      </c>
      <c s="1119">
        <v>8341.75</v>
      </c>
      <c s="677">
        <f>90600+50250</f>
        <v>140850</v>
      </c>
      <c s="562">
        <f t="shared" si="0"/>
        <v>1319795</v>
      </c>
      <c s="682"/>
      <c s="682"/>
      <c s="682"/>
      <c s="682"/>
      <c s="170"/>
      <c s="56"/>
      <c s="264"/>
      <c s="56"/>
      <c s="56"/>
      <c s="56"/>
      <c s="56"/>
      <c s="56"/>
    </row>
    <row r="14" spans="1:23" ht="18" customHeight="1">
      <c r="A14" s="60" t="s">
        <v>665</v>
      </c>
      <c s="744">
        <v>525175</v>
      </c>
      <c s="744">
        <v>11200</v>
      </c>
      <c s="744">
        <v>858960</v>
      </c>
      <c s="745">
        <v>950</v>
      </c>
      <c s="745">
        <v>327948</v>
      </c>
      <c s="746">
        <v>197625</v>
      </c>
      <c s="746">
        <v>8000</v>
      </c>
      <c s="746">
        <v>13657</v>
      </c>
      <c s="677">
        <v>185500</v>
      </c>
      <c s="562">
        <f t="shared" si="0"/>
        <v>2129015</v>
      </c>
      <c s="546"/>
      <c s="171"/>
      <c s="260"/>
      <c s="260"/>
      <c s="260"/>
      <c s="260"/>
      <c s="260"/>
      <c s="260"/>
      <c s="260"/>
      <c s="56"/>
      <c s="56"/>
      <c s="56"/>
    </row>
    <row r="15" spans="1:23" ht="18" customHeight="1">
      <c r="A15" s="60" t="s">
        <v>673</v>
      </c>
      <c s="744">
        <v>400025</v>
      </c>
      <c s="744">
        <v>7200</v>
      </c>
      <c s="744">
        <v>646080</v>
      </c>
      <c s="745">
        <v>500</v>
      </c>
      <c s="859">
        <v>175356.63</v>
      </c>
      <c s="859">
        <v>105350</v>
      </c>
      <c s="859">
        <v>5600</v>
      </c>
      <c s="746">
        <v>7328.3800000000001</v>
      </c>
      <c s="709">
        <f>23700+70000</f>
        <v>93700</v>
      </c>
      <c s="562">
        <f t="shared" si="0"/>
        <v>1441140.0099999998</v>
      </c>
      <c s="677"/>
      <c s="171"/>
      <c s="170"/>
      <c s="260"/>
      <c s="260"/>
      <c s="260"/>
      <c s="260"/>
      <c s="260"/>
      <c s="260"/>
      <c s="56"/>
      <c s="56"/>
      <c s="56"/>
    </row>
    <row r="16" spans="1:23" ht="18" customHeight="1">
      <c r="A16" s="60" t="s">
        <v>677</v>
      </c>
      <c s="860">
        <v>151550</v>
      </c>
      <c s="860">
        <v>2400</v>
      </c>
      <c s="860">
        <v>236260</v>
      </c>
      <c s="861">
        <v>900</v>
      </c>
      <c s="861">
        <v>286718.25</v>
      </c>
      <c s="860">
        <v>142500</v>
      </c>
      <c s="859">
        <v>14400</v>
      </c>
      <c s="859">
        <v>11351.75</v>
      </c>
      <c s="859">
        <v>19150</v>
      </c>
      <c s="562">
        <f t="shared" si="0"/>
        <v>865230</v>
      </c>
      <c s="677"/>
      <c s="171"/>
      <c s="170"/>
      <c s="260"/>
      <c s="260"/>
      <c s="260"/>
      <c s="260"/>
      <c s="260"/>
      <c s="260"/>
      <c s="56"/>
      <c s="56"/>
      <c s="56"/>
    </row>
    <row r="17" spans="1:23" ht="18" customHeight="1">
      <c r="A17" s="60" t="s">
        <v>679</v>
      </c>
      <c s="546">
        <v>725875</v>
      </c>
      <c s="546">
        <v>5600</v>
      </c>
      <c s="546">
        <v>1138300</v>
      </c>
      <c s="638">
        <v>450</v>
      </c>
      <c s="638">
        <v>431877.38</v>
      </c>
      <c s="638">
        <v>232325</v>
      </c>
      <c s="546">
        <v>20800</v>
      </c>
      <c s="547">
        <v>17552.630000000001</v>
      </c>
      <c s="547">
        <f>40000+20250</f>
        <v>60250</v>
      </c>
      <c s="562">
        <f t="shared" si="0"/>
        <v>2633030.0099999998</v>
      </c>
      <c s="709"/>
      <c s="171"/>
      <c s="260"/>
      <c s="260"/>
      <c s="260"/>
      <c s="260"/>
      <c s="260"/>
      <c s="260"/>
      <c s="260"/>
      <c s="260"/>
      <c s="260"/>
      <c s="56"/>
    </row>
    <row r="18" spans="1:23" ht="18" customHeight="1">
      <c r="A18" s="60" t="s">
        <v>683</v>
      </c>
      <c s="514">
        <v>604500</v>
      </c>
      <c s="744">
        <v>6400</v>
      </c>
      <c s="744">
        <v>945100</v>
      </c>
      <c s="745">
        <v>450</v>
      </c>
      <c s="744">
        <v>256135.25</v>
      </c>
      <c s="746">
        <v>144575</v>
      </c>
      <c s="746">
        <v>10400</v>
      </c>
      <c s="747">
        <v>10529.75</v>
      </c>
      <c s="547">
        <v>21300</v>
      </c>
      <c s="562">
        <f>+B18+C18+D18+E18+F18+G18+H18+I18+J18</f>
        <v>1999390</v>
      </c>
      <c s="859"/>
      <c s="171"/>
      <c s="170"/>
      <c s="260"/>
      <c s="260"/>
      <c s="260"/>
      <c s="260"/>
      <c s="260"/>
      <c s="260"/>
      <c s="260"/>
      <c s="56"/>
      <c s="56"/>
    </row>
    <row r="19" spans="1:23" ht="18" customHeight="1">
      <c r="A19" s="60" t="s">
        <v>686</v>
      </c>
      <c s="514">
        <v>540950</v>
      </c>
      <c s="514">
        <v>5600</v>
      </c>
      <c s="514">
        <v>860340</v>
      </c>
      <c s="748">
        <v>500</v>
      </c>
      <c s="514">
        <v>314397.13</v>
      </c>
      <c s="514">
        <v>171350</v>
      </c>
      <c s="528">
        <v>8800</v>
      </c>
      <c s="528">
        <v>12667.879999999999</v>
      </c>
      <c s="547">
        <v>29600</v>
      </c>
      <c s="562">
        <f t="shared" si="1" ref="K19:K33">+B19+C19+D19+E19+F19+G19+H19+I19+J19</f>
        <v>1944205.0099999998</v>
      </c>
      <c s="547"/>
      <c s="171"/>
      <c s="170"/>
      <c s="170"/>
      <c s="170"/>
      <c s="56"/>
      <c s="264"/>
      <c s="56"/>
      <c s="56"/>
      <c s="56"/>
      <c s="56"/>
      <c s="56"/>
    </row>
    <row r="20" spans="1:23" ht="18" customHeight="1">
      <c r="A20" s="60" t="s">
        <v>689</v>
      </c>
      <c s="651">
        <v>503550</v>
      </c>
      <c s="527">
        <v>7200</v>
      </c>
      <c s="651">
        <v>796260</v>
      </c>
      <c s="749">
        <v>450</v>
      </c>
      <c s="683">
        <v>298133.75</v>
      </c>
      <c s="514">
        <v>169150</v>
      </c>
      <c s="528">
        <v>9600</v>
      </c>
      <c s="528">
        <v>12216.25</v>
      </c>
      <c s="528">
        <f>13500+6250</f>
        <v>19750</v>
      </c>
      <c s="562">
        <f t="shared" si="1"/>
        <v>1816310</v>
      </c>
      <c s="547"/>
      <c s="171"/>
      <c s="170"/>
      <c s="170"/>
      <c s="170"/>
      <c s="56"/>
      <c s="264"/>
      <c s="56"/>
      <c s="56"/>
      <c s="56"/>
      <c s="56"/>
      <c s="56"/>
    </row>
    <row r="21" spans="1:23" ht="18" customHeight="1">
      <c r="A21" s="60" t="s">
        <v>690</v>
      </c>
      <c s="860">
        <v>870825</v>
      </c>
      <c s="860">
        <v>10400</v>
      </c>
      <c s="860">
        <v>1390140</v>
      </c>
      <c s="861">
        <v>450</v>
      </c>
      <c s="683">
        <v>363164.75</v>
      </c>
      <c s="514">
        <v>173300</v>
      </c>
      <c s="528">
        <v>17600</v>
      </c>
      <c s="528">
        <v>14195.25</v>
      </c>
      <c s="859">
        <v>5100</v>
      </c>
      <c s="562">
        <f t="shared" si="1"/>
        <v>2845175</v>
      </c>
      <c s="547"/>
      <c s="171"/>
      <c r="O21" s="536"/>
      <c s="536"/>
      <c s="536"/>
      <c s="536"/>
      <c s="536"/>
      <c s="56"/>
      <c s="56"/>
      <c s="56"/>
      <c s="56"/>
    </row>
    <row r="22" spans="1:23" ht="18" customHeight="1">
      <c r="A22" s="60" t="s">
        <v>692</v>
      </c>
      <c s="744">
        <v>540950</v>
      </c>
      <c s="744">
        <v>2400</v>
      </c>
      <c s="744">
        <v>830640</v>
      </c>
      <c s="745">
        <v>400</v>
      </c>
      <c s="744">
        <v>293408.5</v>
      </c>
      <c s="744">
        <v>147275</v>
      </c>
      <c s="746">
        <v>11200</v>
      </c>
      <c s="746">
        <v>11576.5</v>
      </c>
      <c s="746">
        <f>15000+27550</f>
        <v>42550</v>
      </c>
      <c s="562">
        <f t="shared" si="1"/>
        <v>1880400</v>
      </c>
      <c s="528"/>
      <c s="171"/>
      <c r="O22" s="170"/>
      <c s="170"/>
      <c s="56"/>
      <c s="264"/>
      <c s="56"/>
      <c s="56"/>
      <c s="56"/>
      <c s="56"/>
      <c s="56"/>
    </row>
    <row r="23" spans="1:23" ht="18" customHeight="1">
      <c r="A23" s="60" t="s">
        <v>696</v>
      </c>
      <c s="860">
        <v>723425</v>
      </c>
      <c s="860">
        <v>8000</v>
      </c>
      <c s="860">
        <v>1132560</v>
      </c>
      <c s="861">
        <v>800</v>
      </c>
      <c s="861">
        <v>304627.88</v>
      </c>
      <c s="860">
        <v>184550</v>
      </c>
      <c s="860">
        <v>7200</v>
      </c>
      <c s="859">
        <v>12707.129999999999</v>
      </c>
      <c s="859">
        <f>21000+21100</f>
        <v>42100</v>
      </c>
      <c s="562">
        <f>+B23+C23+D23+E23+F23+G23+H23+I23+J23</f>
        <v>2415970.0099999998</v>
      </c>
      <c s="859"/>
      <c s="171"/>
      <c s="170"/>
      <c s="170"/>
      <c s="170"/>
      <c s="56"/>
      <c s="264"/>
      <c s="56"/>
      <c s="56"/>
      <c s="56"/>
      <c s="56"/>
      <c s="56"/>
    </row>
    <row r="24" spans="1:25" ht="18" customHeight="1">
      <c r="A24" s="60" t="s">
        <v>703</v>
      </c>
      <c s="546">
        <v>697275</v>
      </c>
      <c s="546">
        <v>5600</v>
      </c>
      <c s="547">
        <v>1092380</v>
      </c>
      <c s="750">
        <v>650</v>
      </c>
      <c s="547">
        <v>367764.38</v>
      </c>
      <c s="547">
        <v>199825</v>
      </c>
      <c s="547">
        <v>13600</v>
      </c>
      <c s="547">
        <v>14885.629999999999</v>
      </c>
      <c s="547">
        <v>8600</v>
      </c>
      <c s="562">
        <f t="shared" si="1"/>
        <v>2400580.0099999998</v>
      </c>
      <c s="746"/>
      <c s="171"/>
      <c s="260"/>
      <c s="260"/>
      <c s="260"/>
      <c s="260"/>
      <c s="260"/>
      <c s="260"/>
      <c s="260"/>
      <c s="260"/>
      <c s="260"/>
      <c s="56"/>
      <c s="56"/>
      <c s="56"/>
    </row>
    <row r="25" spans="1:25" ht="18" customHeight="1">
      <c r="A25" s="60" t="s">
        <v>704</v>
      </c>
      <c s="546">
        <v>563200</v>
      </c>
      <c s="546">
        <v>2400</v>
      </c>
      <c s="546">
        <v>887640</v>
      </c>
      <c s="638">
        <v>500</v>
      </c>
      <c s="708">
        <v>323595.75</v>
      </c>
      <c s="546">
        <v>191025</v>
      </c>
      <c s="546">
        <v>10400</v>
      </c>
      <c s="547">
        <v>13449.25</v>
      </c>
      <c s="547">
        <f>33750+22000</f>
        <v>55750</v>
      </c>
      <c s="562">
        <f t="shared" si="1"/>
        <v>2047960</v>
      </c>
      <c s="859"/>
      <c s="171"/>
      <c s="260"/>
      <c s="260"/>
      <c s="260"/>
      <c s="260"/>
      <c s="260"/>
      <c s="260"/>
      <c s="260"/>
      <c s="260"/>
      <c s="260"/>
      <c s="56"/>
      <c s="56"/>
      <c s="56"/>
    </row>
    <row r="26" spans="1:25" ht="18" customHeight="1">
      <c r="A26" s="60" t="s">
        <v>711</v>
      </c>
      <c s="546">
        <v>875100</v>
      </c>
      <c s="546">
        <v>7200</v>
      </c>
      <c s="546">
        <v>1374920</v>
      </c>
      <c s="638">
        <v>500</v>
      </c>
      <c s="546">
        <v>381770.13</v>
      </c>
      <c s="546">
        <v>243950</v>
      </c>
      <c s="546">
        <v>5600</v>
      </c>
      <c s="547">
        <v>16174.879999999999</v>
      </c>
      <c s="547">
        <v>13150</v>
      </c>
      <c s="562">
        <f t="shared" si="1"/>
        <v>2918365.0099999998</v>
      </c>
      <c s="547"/>
      <c s="171"/>
      <c s="260"/>
      <c s="260"/>
      <c s="260"/>
      <c s="56"/>
      <c s="264"/>
      <c s="56"/>
      <c s="56"/>
      <c s="56"/>
      <c s="56"/>
      <c s="56"/>
      <c s="56"/>
      <c s="56"/>
    </row>
    <row r="27" spans="1:25" ht="18" customHeight="1">
      <c r="A27" s="60" t="s">
        <v>714</v>
      </c>
      <c s="546">
        <v>244200</v>
      </c>
      <c s="546">
        <v>1600</v>
      </c>
      <c s="546">
        <v>391440</v>
      </c>
      <c s="638">
        <v>650</v>
      </c>
      <c s="1171">
        <v>298478.75</v>
      </c>
      <c s="1171">
        <v>171600</v>
      </c>
      <c s="1171">
        <v>7200</v>
      </c>
      <c s="1171">
        <v>12221.25</v>
      </c>
      <c s="547">
        <v>5050</v>
      </c>
      <c s="562">
        <f t="shared" si="1"/>
        <v>1132440</v>
      </c>
      <c s="547"/>
      <c s="171"/>
      <c s="170"/>
      <c s="170"/>
      <c s="170"/>
      <c s="56"/>
      <c s="264"/>
      <c s="56"/>
      <c s="56"/>
      <c s="56"/>
      <c s="56"/>
      <c s="56"/>
      <c s="56"/>
      <c s="56"/>
    </row>
    <row r="28" spans="1:25" ht="18" customHeight="1">
      <c r="A28" s="60" t="s">
        <v>718</v>
      </c>
      <c s="546">
        <v>795400</v>
      </c>
      <c s="546">
        <v>12800</v>
      </c>
      <c s="546">
        <v>1238080</v>
      </c>
      <c s="638">
        <v>250</v>
      </c>
      <c s="638">
        <v>465737.13</v>
      </c>
      <c s="514">
        <v>239675</v>
      </c>
      <c s="514">
        <v>18400</v>
      </c>
      <c s="514">
        <v>18552.880000000001</v>
      </c>
      <c s="547">
        <v>8500</v>
      </c>
      <c s="562">
        <f t="shared" si="1"/>
        <v>2797395.0099999998</v>
      </c>
      <c s="547"/>
      <c s="171"/>
      <c s="170"/>
      <c s="170"/>
      <c s="170"/>
      <c s="56"/>
      <c s="264"/>
      <c s="56"/>
      <c s="56"/>
      <c s="56"/>
      <c s="56"/>
      <c s="56"/>
      <c s="56"/>
      <c s="56"/>
    </row>
    <row r="29" spans="1:25" ht="18" customHeight="1">
      <c r="A29" s="60" t="s">
        <v>723</v>
      </c>
      <c s="514">
        <v>560875</v>
      </c>
      <c s="514">
        <v>6400</v>
      </c>
      <c s="514">
        <v>873100</v>
      </c>
      <c s="748">
        <v>300</v>
      </c>
      <c s="546">
        <v>356522.38</v>
      </c>
      <c s="546">
        <v>199700</v>
      </c>
      <c s="546">
        <v>12800</v>
      </c>
      <c s="514">
        <v>14582.629999999999</v>
      </c>
      <c s="528">
        <v>14000</v>
      </c>
      <c s="562">
        <f t="shared" si="1"/>
        <v>2038280.0099999998</v>
      </c>
      <c s="547"/>
      <c s="171"/>
      <c s="170"/>
      <c s="170"/>
      <c s="170"/>
      <c s="264"/>
      <c s="264"/>
      <c s="56"/>
      <c s="56"/>
      <c s="56"/>
      <c s="56"/>
      <c s="56"/>
      <c s="56"/>
      <c s="56"/>
    </row>
    <row r="30" spans="1:25" ht="18" customHeight="1">
      <c r="A30" s="60" t="s">
        <v>734</v>
      </c>
      <c s="546">
        <v>408950</v>
      </c>
      <c s="546">
        <v>5600</v>
      </c>
      <c s="546">
        <v>647580</v>
      </c>
      <c s="638">
        <v>250</v>
      </c>
      <c s="1173">
        <v>32837.629999999997</v>
      </c>
      <c s="1173">
        <v>17600</v>
      </c>
      <c s="1173">
        <v>800</v>
      </c>
      <c s="1173">
        <v>1307.3800000000001</v>
      </c>
      <c s="528">
        <f>7500+13500</f>
        <v>21000</v>
      </c>
      <c s="562">
        <f t="shared" si="1"/>
        <v>1135925.0099999998</v>
      </c>
      <c s="171"/>
      <c s="171"/>
      <c s="170"/>
      <c s="170"/>
      <c s="170"/>
      <c s="56"/>
      <c s="264"/>
      <c s="56"/>
      <c s="56"/>
      <c s="56"/>
      <c s="56"/>
      <c s="56"/>
      <c s="56"/>
      <c s="56"/>
    </row>
    <row r="31" spans="1:25" ht="18" customHeight="1">
      <c r="A31" s="60"/>
      <c s="546"/>
      <c s="546"/>
      <c s="546"/>
      <c s="638"/>
      <c s="546"/>
      <c s="546"/>
      <c s="546"/>
      <c s="546"/>
      <c s="528"/>
      <c s="562">
        <f t="shared" si="1"/>
        <v>0</v>
      </c>
      <c s="171"/>
      <c s="171"/>
      <c s="260"/>
      <c s="260"/>
      <c s="260"/>
      <c s="260"/>
      <c s="260"/>
      <c s="260"/>
      <c s="260"/>
      <c s="260"/>
      <c s="260"/>
      <c s="260"/>
      <c s="56"/>
      <c s="56"/>
    </row>
    <row r="32" spans="1:25" ht="18" customHeight="1">
      <c r="A32" s="60"/>
      <c s="546"/>
      <c s="546"/>
      <c s="546"/>
      <c s="638"/>
      <c s="546"/>
      <c s="546"/>
      <c s="546"/>
      <c s="547"/>
      <c s="547"/>
      <c s="562">
        <f t="shared" si="1"/>
        <v>0</v>
      </c>
      <c s="171"/>
      <c s="171"/>
      <c s="546"/>
      <c s="546"/>
      <c s="546"/>
      <c s="638"/>
      <c s="546"/>
      <c s="546"/>
      <c s="547"/>
      <c s="547"/>
      <c s="528"/>
      <c s="260"/>
      <c s="56"/>
      <c s="56"/>
    </row>
    <row r="33" spans="1:25" ht="18" customHeight="1">
      <c r="A33" s="739"/>
      <c s="546"/>
      <c s="546"/>
      <c s="546"/>
      <c s="638"/>
      <c s="546"/>
      <c s="546"/>
      <c s="546"/>
      <c s="546"/>
      <c s="546"/>
      <c s="562">
        <f t="shared" si="1"/>
        <v>0</v>
      </c>
      <c s="171"/>
      <c s="171"/>
      <c s="538"/>
      <c s="538"/>
      <c s="538"/>
      <c s="640"/>
      <c s="538"/>
      <c s="538"/>
      <c s="538"/>
      <c s="538"/>
      <c s="738"/>
      <c s="260"/>
      <c s="56"/>
      <c s="56"/>
    </row>
    <row r="34" spans="1:25" ht="18" customHeight="1" thickBot="1">
      <c r="A34" s="175" t="s">
        <v>128</v>
      </c>
      <c s="65">
        <f t="shared" si="2" ref="B34:K34">SUM(B11:B33)</f>
        <v>10983125</v>
      </c>
      <c s="65">
        <f t="shared" si="2"/>
        <v>132800</v>
      </c>
      <c s="65">
        <f t="shared" si="2"/>
        <v>17325940</v>
      </c>
      <c s="65">
        <f t="shared" si="2"/>
        <v>10050</v>
      </c>
      <c s="65">
        <f t="shared" si="2"/>
        <v>5944073.5499999989</v>
      </c>
      <c s="65">
        <f t="shared" si="2"/>
        <v>3284450</v>
      </c>
      <c s="65">
        <f t="shared" si="2"/>
        <v>211200</v>
      </c>
      <c s="65">
        <f t="shared" si="2"/>
        <v>241786.55000000005</v>
      </c>
      <c s="65">
        <f>SUM(J11:J33)</f>
        <v>896550</v>
      </c>
      <c s="66">
        <f t="shared" si="2"/>
        <v>39029975.099999987</v>
      </c>
      <c s="171">
        <f>SUM(L11:L32)</f>
        <v>0</v>
      </c>
      <c s="171">
        <f>SUM(M11:M32)</f>
        <v>0</v>
      </c>
      <c s="260"/>
      <c s="260"/>
      <c s="260"/>
      <c s="260"/>
      <c s="260"/>
      <c s="260"/>
      <c s="260"/>
      <c s="260"/>
      <c s="260"/>
      <c s="251"/>
      <c s="251"/>
      <c s="56"/>
    </row>
    <row r="35" spans="1:25" s="154" customFormat="1" ht="18" customHeight="1">
      <c r="A35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36" spans="1:25" s="154" customFormat="1" ht="18" customHeight="1">
      <c r="A36" s="438"/>
      <c s="260"/>
      <c s="260"/>
      <c s="260"/>
      <c r="K36" s="171"/>
      <c s="171"/>
      <c s="537">
        <f>L34-M34</f>
        <v>0</v>
      </c>
      <c s="537"/>
      <c s="537"/>
      <c s="537"/>
      <c s="537"/>
      <c s="537"/>
      <c s="537"/>
      <c s="537"/>
      <c s="537"/>
      <c s="537"/>
      <c s="251"/>
      <c s="251"/>
      <c s="251"/>
    </row>
    <row r="37" spans="1:25" s="154" customFormat="1" ht="18" customHeight="1">
      <c r="A37" s="438"/>
      <c s="538"/>
      <c s="538"/>
      <c s="538"/>
      <c s="538"/>
      <c s="538">
        <f>F34-5947627.25</f>
        <v>-3553.7000000011176</v>
      </c>
      <c s="172">
        <f>G34-3286650</f>
        <v>-2200</v>
      </c>
      <c r="I37" s="172">
        <f>I34-241932.75</f>
        <v>-146.19999999995343</v>
      </c>
      <c r="K37" s="171"/>
      <c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38" spans="1:25" s="154" customFormat="1" ht="18" customHeight="1">
      <c r="A38" s="438"/>
      <c r="L38"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39" spans="1:25" s="154" customFormat="1" ht="18" customHeight="1">
      <c r="A39" s="438"/>
      <c s="538"/>
      <c s="538"/>
      <c s="538"/>
      <c s="640"/>
      <c s="538"/>
      <c s="538"/>
      <c s="538"/>
      <c s="538"/>
      <c s="538"/>
      <c s="171"/>
      <c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40" spans="1:25" s="154" customFormat="1" ht="18" customHeight="1">
      <c r="A40" s="438"/>
      <c s="251"/>
      <c s="251"/>
      <c s="251"/>
      <c s="251"/>
      <c s="181"/>
      <c s="251"/>
      <c s="251"/>
      <c s="251"/>
      <c r="K40" s="174"/>
      <c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41" spans="1:25" s="154" customFormat="1" ht="18" customHeight="1">
      <c r="A41" s="438"/>
      <c s="174"/>
      <c s="174"/>
      <c s="546"/>
      <c r="I41" s="174"/>
      <c r="K41" s="174"/>
      <c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42" spans="1:25" s="154" customFormat="1" ht="18" customHeight="1">
      <c r="A42" s="438"/>
      <c r="L42"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43" spans="1:25" s="154" customFormat="1" ht="18" customHeight="1">
      <c r="A43" s="438"/>
      <c r="K43" s="174"/>
      <c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44" spans="1:25" s="154" customFormat="1" ht="18" customHeight="1">
      <c r="A44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  <c s="251"/>
      <c s="251"/>
    </row>
    <row r="45" spans="1:23" s="154" customFormat="1" ht="18" customHeight="1">
      <c r="A45" s="438"/>
      <c s="174"/>
      <c s="174"/>
      <c s="174"/>
      <c s="174"/>
      <c s="174"/>
      <c s="174"/>
      <c s="174"/>
      <c s="174"/>
      <c r="K45" s="171"/>
      <c s="171"/>
      <c s="537"/>
      <c s="537"/>
      <c s="537"/>
      <c s="537"/>
      <c s="537"/>
      <c s="537"/>
      <c s="537"/>
      <c s="537"/>
      <c s="537"/>
      <c s="537"/>
      <c s="251"/>
    </row>
    <row r="46" spans="1:23" s="154" customFormat="1" ht="18" customHeight="1">
      <c r="A46" s="438"/>
      <c s="174"/>
      <c s="174"/>
      <c s="174"/>
      <c r="F46" s="174"/>
      <c s="174"/>
      <c s="174"/>
      <c s="174"/>
      <c r="K46" s="171"/>
      <c s="171"/>
      <c s="537"/>
      <c s="537"/>
      <c s="537"/>
      <c s="537"/>
      <c s="537"/>
      <c s="537"/>
      <c s="537"/>
      <c s="537"/>
      <c s="537"/>
      <c s="537"/>
      <c s="251"/>
    </row>
    <row r="47" spans="1:23" s="154" customFormat="1" ht="18" customHeight="1">
      <c r="A47" s="438"/>
      <c s="174"/>
      <c s="174"/>
      <c r="F47" s="174"/>
      <c s="174"/>
      <c s="174"/>
      <c s="174"/>
      <c r="K47" s="171"/>
      <c s="171"/>
      <c s="537"/>
      <c s="537"/>
      <c s="537"/>
      <c s="537"/>
      <c s="537"/>
      <c s="537"/>
      <c s="537"/>
      <c s="537"/>
      <c s="537"/>
      <c s="537"/>
      <c s="251"/>
    </row>
    <row r="48" spans="1:23" s="154" customFormat="1" ht="18" customHeight="1">
      <c r="A48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49" spans="1:23" s="154" customFormat="1" ht="18" customHeight="1">
      <c r="A49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0" spans="1:23" s="154" customFormat="1" ht="18" customHeight="1">
      <c r="A50" s="438"/>
      <c r="K50" s="171"/>
      <c s="171"/>
      <c s="537"/>
      <c s="537"/>
      <c s="537"/>
      <c s="537"/>
      <c s="537"/>
      <c s="537"/>
      <c s="537"/>
      <c s="537"/>
      <c s="537"/>
      <c s="537"/>
      <c s="251"/>
    </row>
    <row r="51" spans="1:23" s="154" customFormat="1" ht="18" customHeight="1">
      <c r="A51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2" spans="1:23" s="154" customFormat="1" ht="18" customHeight="1">
      <c r="A52" s="438"/>
      <c s="174"/>
      <c s="174"/>
      <c s="174"/>
      <c s="174"/>
      <c s="174"/>
      <c s="174"/>
      <c s="174"/>
      <c s="174"/>
      <c s="174"/>
      <c s="171">
        <f>+K62-K30</f>
        <v>37894050.089999989</v>
      </c>
      <c s="171"/>
      <c s="537"/>
      <c s="537"/>
      <c s="537"/>
      <c s="537"/>
      <c s="537"/>
      <c s="537"/>
      <c s="537"/>
      <c s="537"/>
      <c s="537"/>
      <c s="537"/>
      <c s="251"/>
    </row>
    <row r="53" spans="1:23" s="154" customFormat="1" ht="18" customHeight="1">
      <c r="A53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4" spans="1:23" s="154" customFormat="1" ht="18" customHeight="1">
      <c r="A54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5" spans="1:23" s="154" customFormat="1" ht="18" customHeight="1">
      <c r="A55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6" spans="1:23" s="154" customFormat="1" ht="18" customHeight="1">
      <c r="A56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7" spans="1:23" s="154" customFormat="1" ht="18" customHeight="1">
      <c r="A57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8" spans="1:23" s="154" customFormat="1" ht="18" customHeight="1">
      <c r="A58" s="438"/>
      <c s="174"/>
      <c s="174"/>
      <c s="174"/>
      <c s="174"/>
      <c s="174"/>
      <c s="174"/>
      <c s="174"/>
      <c s="174"/>
      <c s="174"/>
      <c s="171"/>
      <c s="171"/>
      <c s="537"/>
      <c s="537"/>
      <c s="537"/>
      <c s="537"/>
      <c s="537"/>
      <c s="537"/>
      <c s="537"/>
      <c s="537"/>
      <c s="537"/>
      <c s="537"/>
      <c s="251"/>
    </row>
    <row r="59" spans="1:24" ht="18" customHeight="1" thickBot="1">
      <c r="A59" s="67" t="s">
        <v>70</v>
      </c>
      <c s="68"/>
      <c s="68"/>
      <c s="68"/>
      <c s="68"/>
      <c s="68"/>
      <c s="68"/>
      <c s="68"/>
      <c s="68"/>
      <c s="68"/>
      <c s="69"/>
      <c s="171"/>
      <c s="537"/>
      <c s="260"/>
      <c s="260"/>
      <c s="260"/>
      <c s="260"/>
      <c s="251"/>
      <c s="251"/>
      <c s="251"/>
      <c s="251"/>
      <c s="251"/>
      <c s="251"/>
      <c s="154"/>
    </row>
    <row r="60" spans="1:24" ht="18" customHeight="1" thickBot="1">
      <c r="A60" s="67" t="s">
        <v>72</v>
      </c>
      <c s="70">
        <v>0</v>
      </c>
      <c s="71">
        <v>0</v>
      </c>
      <c s="71">
        <v>0</v>
      </c>
      <c s="71"/>
      <c s="71"/>
      <c s="71">
        <v>0</v>
      </c>
      <c s="72"/>
      <c s="72"/>
      <c s="72"/>
      <c s="445">
        <f>SUM(B60:G60)</f>
        <v>0</v>
      </c>
      <c s="171"/>
      <c s="171"/>
      <c s="171"/>
      <c s="171"/>
      <c s="171"/>
      <c s="251"/>
      <c s="251"/>
      <c s="154"/>
      <c s="154"/>
      <c s="154"/>
      <c s="154"/>
      <c s="154"/>
      <c s="154"/>
    </row>
    <row r="61" spans="1:24" ht="18" customHeight="1">
      <c r="A61" s="67" t="s">
        <v>73</v>
      </c>
      <c s="73"/>
      <c s="74">
        <v>0</v>
      </c>
      <c s="74">
        <f>D133</f>
        <v>0</v>
      </c>
      <c s="74"/>
      <c s="74"/>
      <c s="74">
        <v>0</v>
      </c>
      <c s="75"/>
      <c s="75"/>
      <c s="75"/>
      <c s="446">
        <f>SUM(B61:G61)</f>
        <v>0</v>
      </c>
      <c s="171"/>
      <c s="171"/>
      <c s="171"/>
      <c s="171"/>
      <c s="171"/>
      <c s="251"/>
      <c s="251"/>
      <c s="154"/>
      <c s="154"/>
      <c s="154"/>
      <c s="154"/>
      <c s="154"/>
      <c s="154"/>
    </row>
    <row r="62" spans="1:24" ht="18" customHeight="1" thickBot="1">
      <c r="A62" s="4" t="s">
        <v>437</v>
      </c>
      <c s="76">
        <f t="shared" si="3" ref="B62:J62">B34+B60-B61</f>
        <v>10983125</v>
      </c>
      <c s="76">
        <f t="shared" si="3"/>
        <v>132800</v>
      </c>
      <c s="76">
        <f t="shared" si="3"/>
        <v>17325940</v>
      </c>
      <c s="76">
        <f t="shared" si="3"/>
        <v>10050</v>
      </c>
      <c s="76">
        <f t="shared" si="3"/>
        <v>5944073.5499999989</v>
      </c>
      <c s="76">
        <f t="shared" si="3"/>
        <v>3284450</v>
      </c>
      <c s="76">
        <f t="shared" si="3"/>
        <v>211200</v>
      </c>
      <c s="76">
        <f t="shared" si="3"/>
        <v>241786.55000000005</v>
      </c>
      <c s="76">
        <f t="shared" si="3"/>
        <v>896550</v>
      </c>
      <c s="447">
        <f>+K34-K60-K61</f>
        <v>39029975.099999987</v>
      </c>
      <c s="171"/>
      <c s="171"/>
      <c s="171"/>
      <c s="171"/>
      <c s="171"/>
      <c s="251"/>
      <c s="251"/>
      <c s="154"/>
      <c s="154"/>
      <c s="154"/>
      <c s="154"/>
      <c s="154"/>
      <c s="154"/>
    </row>
    <row r="63" spans="1:24" ht="18" customHeight="1" thickTop="1" thickBot="1">
      <c r="A63" s="1360"/>
      <c s="1360"/>
      <c s="1360"/>
      <c s="1360"/>
      <c s="1360"/>
      <c s="1360"/>
      <c s="1360"/>
      <c s="1360"/>
      <c s="1360"/>
      <c s="1360"/>
      <c s="1360"/>
      <c s="265"/>
      <c s="537"/>
      <c s="265"/>
      <c s="265"/>
      <c s="265"/>
      <c s="251"/>
      <c s="251"/>
      <c s="154"/>
      <c s="154"/>
      <c s="154"/>
      <c s="154"/>
      <c s="154"/>
      <c s="154"/>
    </row>
    <row r="64" spans="1:24" ht="18" customHeight="1" thickBot="1">
      <c r="A64" s="4" t="s">
        <v>317</v>
      </c>
      <c s="689">
        <v>10983125</v>
      </c>
      <c s="689">
        <v>132800</v>
      </c>
      <c s="689">
        <v>17325940</v>
      </c>
      <c s="689">
        <v>10050</v>
      </c>
      <c s="689">
        <v>5944073.5499999998</v>
      </c>
      <c s="689">
        <v>3284450</v>
      </c>
      <c s="689">
        <v>211200</v>
      </c>
      <c s="689">
        <v>241786.54999999999</v>
      </c>
      <c s="689">
        <v>896550</v>
      </c>
      <c s="689">
        <v>39047975.100000001</v>
      </c>
      <c s="171">
        <v>0</v>
      </c>
      <c s="171"/>
      <c s="171"/>
      <c s="171"/>
      <c s="171"/>
      <c s="174"/>
      <c s="251"/>
      <c s="154"/>
      <c s="154"/>
      <c s="154"/>
      <c s="154"/>
      <c s="154"/>
      <c s="154"/>
    </row>
    <row r="65" spans="2:24" ht="12.75">
      <c r="B65" s="114">
        <f t="shared" si="4" ref="B65:I65">B62-B64</f>
        <v>0</v>
      </c>
      <c s="114">
        <f t="shared" si="4"/>
        <v>0</v>
      </c>
      <c s="114">
        <f>D62-D64</f>
        <v>0</v>
      </c>
      <c s="114">
        <f>+E62-E64</f>
        <v>0</v>
      </c>
      <c s="114">
        <f t="shared" si="4"/>
        <v>0</v>
      </c>
      <c s="114">
        <f t="shared" si="4"/>
        <v>0</v>
      </c>
      <c s="114">
        <f t="shared" si="4"/>
        <v>0</v>
      </c>
      <c s="114">
        <f t="shared" si="4"/>
        <v>0</v>
      </c>
      <c s="114">
        <f>+J62-J64</f>
        <v>0</v>
      </c>
      <c s="114">
        <f>+K62-K64</f>
        <v>-18000.000000014901</v>
      </c>
      <c s="181"/>
      <c s="181"/>
      <c s="181"/>
      <c s="181"/>
      <c s="181"/>
      <c s="251"/>
      <c s="181"/>
      <c s="154"/>
      <c s="154"/>
      <c s="154"/>
      <c s="154"/>
      <c s="154"/>
      <c s="154"/>
    </row>
    <row r="66" spans="2:24" ht="12.75">
      <c r="B66" s="114"/>
      <c r="E66" s="198"/>
      <c r="L66" s="181"/>
      <c r="N66" s="154"/>
      <c s="154"/>
      <c s="154"/>
      <c s="154"/>
      <c s="154"/>
      <c s="154"/>
      <c s="154"/>
      <c s="154"/>
      <c s="154"/>
      <c s="154"/>
      <c s="154"/>
    </row>
    <row r="67" spans="1:24" ht="18" customHeight="1" thickBot="1">
      <c r="A67" s="1361"/>
      <c s="1361"/>
      <c s="1361"/>
      <c s="1361"/>
      <c s="1361"/>
      <c s="1361"/>
      <c s="1361"/>
      <c s="1361"/>
      <c s="1361"/>
      <c s="1361"/>
      <c s="1361"/>
      <c s="173"/>
      <c s="173"/>
      <c s="173"/>
      <c s="173"/>
      <c s="173"/>
      <c s="154"/>
      <c s="154"/>
      <c s="154"/>
      <c s="154"/>
      <c s="154"/>
      <c s="154"/>
      <c s="154"/>
      <c s="154"/>
    </row>
    <row r="68" spans="1:24" ht="78.75" customHeight="1" thickBot="1">
      <c r="A68" s="57" t="s">
        <v>187</v>
      </c>
      <c s="551" t="s">
        <v>278</v>
      </c>
      <c s="550" t="s">
        <v>279</v>
      </c>
      <c s="550" t="s">
        <v>280</v>
      </c>
      <c s="237" t="s">
        <v>300</v>
      </c>
      <c s="237" t="s">
        <v>301</v>
      </c>
      <c s="476" t="s">
        <v>302</v>
      </c>
      <c s="550" t="s">
        <v>279</v>
      </c>
      <c s="552" t="s">
        <v>247</v>
      </c>
      <c s="237" t="s">
        <v>164</v>
      </c>
      <c s="563" t="s">
        <v>69</v>
      </c>
      <c s="169"/>
      <c s="169"/>
      <c s="169"/>
      <c s="169"/>
      <c s="169"/>
      <c s="154"/>
      <c s="154"/>
      <c s="154"/>
      <c s="154"/>
      <c s="154"/>
      <c s="154"/>
      <c s="154"/>
      <c s="154"/>
    </row>
    <row r="69" spans="1:18" s="199" customFormat="1" ht="15.75">
      <c r="A69" s="635" t="s">
        <v>654</v>
      </c>
      <c s="775"/>
      <c s="863"/>
      <c s="775"/>
      <c s="546"/>
      <c s="546">
        <f>+F11</f>
        <v>242655.13</v>
      </c>
      <c s="546"/>
      <c s="546"/>
      <c s="546"/>
      <c s="546">
        <f>4050</f>
        <v>4050</v>
      </c>
      <c s="564">
        <f>+J69+I69+H69+G69+F69+E69</f>
        <v>246705.13</v>
      </c>
      <c s="561"/>
      <c s="538"/>
      <c s="538"/>
      <c s="260"/>
      <c s="254"/>
      <c s="537"/>
      <c s="537"/>
    </row>
    <row r="70" spans="1:26" s="255" customFormat="1" ht="31.5">
      <c r="A70" s="635" t="s">
        <v>657</v>
      </c>
      <c s="1176">
        <v>214686.29999999999</v>
      </c>
      <c s="863"/>
      <c s="1176">
        <v>513105.37</v>
      </c>
      <c s="546"/>
      <c s="546">
        <f t="shared" si="5" ref="F70:F82">+F12</f>
        <v>217966.5</v>
      </c>
      <c s="546"/>
      <c s="546"/>
      <c s="546"/>
      <c s="547"/>
      <c s="564">
        <f>+J70+I70+H70+G70+F70+E70</f>
        <v>217966.5</v>
      </c>
      <c s="171"/>
      <c s="538"/>
      <c s="538"/>
      <c s="538"/>
      <c s="254"/>
      <c s="260"/>
      <c s="260"/>
      <c r="T70" s="61"/>
      <c s="62"/>
      <c r="W70" s="309"/>
      <c r="Y70" s="309"/>
      <c s="309"/>
    </row>
    <row r="71" spans="1:26" s="255" customFormat="1" ht="32.25">
      <c r="A71" s="635" t="s">
        <v>658</v>
      </c>
      <c s="1176">
        <v>321075</v>
      </c>
      <c s="863"/>
      <c s="1176">
        <v>519340</v>
      </c>
      <c s="546"/>
      <c s="546">
        <f t="shared" si="5"/>
        <v>204978.25</v>
      </c>
      <c s="546"/>
      <c s="546"/>
      <c s="546"/>
      <c s="546">
        <v>19550</v>
      </c>
      <c s="564">
        <f>+J71+I71+H71+G71+F71+E71</f>
        <v>224528.25</v>
      </c>
      <c s="682"/>
      <c s="538"/>
      <c s="560"/>
      <c s="538"/>
      <c s="254"/>
      <c s="260"/>
      <c s="260"/>
      <c r="T71" s="63"/>
      <c s="64"/>
      <c r="W71" s="309"/>
      <c r="Y71" s="309"/>
      <c s="309"/>
    </row>
    <row r="72" spans="1:26" s="255" customFormat="1" ht="31.5">
      <c r="A72" s="635" t="s">
        <v>660</v>
      </c>
      <c s="1228">
        <v>599546.35999999999</v>
      </c>
      <c s="863"/>
      <c s="1228">
        <v>951571.32999999996</v>
      </c>
      <c s="546"/>
      <c s="546">
        <f t="shared" si="5"/>
        <v>327948</v>
      </c>
      <c s="546"/>
      <c s="546"/>
      <c s="546"/>
      <c s="677">
        <f>91100+50250</f>
        <v>141350</v>
      </c>
      <c s="564">
        <f t="shared" si="6" ref="K72:K89">+J72+I72+H72+G72+F72+E72</f>
        <v>469298</v>
      </c>
      <c s="546"/>
      <c s="560"/>
      <c s="560"/>
      <c s="560"/>
      <c s="254"/>
      <c s="260"/>
      <c s="260"/>
      <c r="T72" s="63"/>
      <c s="64"/>
      <c r="W72" s="309"/>
      <c r="Y72" s="309"/>
      <c s="309"/>
    </row>
    <row r="73" spans="1:26" s="255" customFormat="1" ht="31.5">
      <c r="A73" s="635" t="s">
        <v>664</v>
      </c>
      <c s="1231">
        <v>328975.67999999999</v>
      </c>
      <c s="1238"/>
      <c s="1231">
        <v>512272.64000000001</v>
      </c>
      <c s="546"/>
      <c s="546">
        <f t="shared" si="5"/>
        <v>175356.63</v>
      </c>
      <c s="546"/>
      <c s="546"/>
      <c s="546"/>
      <c s="677">
        <v>90600</v>
      </c>
      <c s="564">
        <f t="shared" si="6"/>
        <v>265956.63</v>
      </c>
      <c s="677"/>
      <c s="560"/>
      <c s="560"/>
      <c s="560"/>
      <c s="254"/>
      <c s="260"/>
      <c s="260"/>
      <c r="T73" s="63"/>
      <c s="64"/>
      <c r="W73" s="309"/>
      <c r="Y73" s="309"/>
      <c s="309"/>
    </row>
    <row r="74" spans="1:26" s="255" customFormat="1" ht="31.5">
      <c r="A74" s="635" t="s">
        <v>670</v>
      </c>
      <c s="1231">
        <v>515881.53999999998</v>
      </c>
      <c s="1242"/>
      <c s="1231">
        <v>838896.58999999997</v>
      </c>
      <c s="546"/>
      <c s="546">
        <f t="shared" si="5"/>
        <v>286718.25</v>
      </c>
      <c s="546"/>
      <c s="546"/>
      <c s="546"/>
      <c s="746">
        <f>185500+70000</f>
        <v>255500</v>
      </c>
      <c s="564">
        <f t="shared" si="6"/>
        <v>542218.25</v>
      </c>
      <c s="677"/>
      <c s="1114"/>
      <c s="1115"/>
      <c s="560"/>
      <c s="254"/>
      <c s="260"/>
      <c s="260"/>
      <c r="T74" s="63"/>
      <c s="64"/>
      <c r="W74" s="309"/>
      <c r="Y74" s="309"/>
      <c s="309"/>
    </row>
    <row r="75" spans="1:26" s="255" customFormat="1" ht="31.5">
      <c r="A75" s="635" t="s">
        <v>676</v>
      </c>
      <c s="1273">
        <v>399251.17999999999</v>
      </c>
      <c s="1291"/>
      <c s="1273">
        <v>645556.66000000003</v>
      </c>
      <c s="546"/>
      <c s="546">
        <f t="shared" si="5"/>
        <v>431877.38</v>
      </c>
      <c s="546"/>
      <c s="546"/>
      <c s="546"/>
      <c s="859">
        <v>23700</v>
      </c>
      <c s="564">
        <f t="shared" si="6"/>
        <v>455577.38</v>
      </c>
      <c s="709"/>
      <c s="1115"/>
      <c s="538"/>
      <c s="1115"/>
      <c s="254"/>
      <c s="260"/>
      <c s="260"/>
      <c r="T75" s="63"/>
      <c s="64"/>
      <c r="W75" s="309"/>
      <c r="Y75" s="309"/>
      <c s="309"/>
    </row>
    <row r="76" spans="1:26" s="255" customFormat="1" ht="31.5">
      <c r="A76" s="635" t="s">
        <v>680</v>
      </c>
      <c s="1241">
        <v>150951.12</v>
      </c>
      <c s="1242"/>
      <c s="1241">
        <v>235291.67000000001</v>
      </c>
      <c s="546"/>
      <c s="546">
        <f t="shared" si="5"/>
        <v>256135.25</v>
      </c>
      <c s="546"/>
      <c s="546"/>
      <c s="546"/>
      <c s="547">
        <f>19150+20250</f>
        <v>39400</v>
      </c>
      <c s="564">
        <f t="shared" si="6"/>
        <v>295535.25</v>
      </c>
      <c s="859"/>
      <c s="538"/>
      <c s="538"/>
      <c s="538"/>
      <c s="254"/>
      <c s="260"/>
      <c s="260"/>
      <c r="T76" s="63"/>
      <c s="64"/>
      <c r="W76" s="309"/>
      <c r="Y76" s="309"/>
      <c s="309"/>
    </row>
    <row r="77" spans="1:26" ht="31.5">
      <c r="A77" s="635" t="s">
        <v>681</v>
      </c>
      <c s="1241">
        <v>725648.56999999995</v>
      </c>
      <c s="1242"/>
      <c s="1241">
        <v>1137947.0600000001</v>
      </c>
      <c s="1136"/>
      <c s="546">
        <f t="shared" si="5"/>
        <v>314397.13</v>
      </c>
      <c s="546"/>
      <c s="546"/>
      <c s="546"/>
      <c s="547">
        <v>40000</v>
      </c>
      <c s="564">
        <f t="shared" si="6"/>
        <v>354397.13</v>
      </c>
      <c s="547"/>
      <c s="538"/>
      <c s="538"/>
      <c s="538"/>
      <c s="170"/>
      <c s="260"/>
      <c s="260"/>
      <c r="T77" s="63"/>
      <c s="64"/>
      <c r="W77" s="309"/>
      <c r="Y77" s="309"/>
      <c s="309"/>
    </row>
    <row r="78" spans="1:26" ht="31.5">
      <c r="A78" s="635" t="s">
        <v>684</v>
      </c>
      <c s="1228">
        <v>603411.53000000003</v>
      </c>
      <c s="1168"/>
      <c s="1228">
        <v>943183.07999999996</v>
      </c>
      <c s="546"/>
      <c s="546">
        <f t="shared" si="5"/>
        <v>298133.75</v>
      </c>
      <c s="546"/>
      <c s="546"/>
      <c s="546"/>
      <c s="547">
        <v>21300</v>
      </c>
      <c s="564">
        <f t="shared" si="6"/>
        <v>319433.75</v>
      </c>
      <c s="547"/>
      <c s="538"/>
      <c s="738"/>
      <c s="538"/>
      <c s="170"/>
      <c s="260"/>
      <c s="260"/>
      <c r="T78" s="63"/>
      <c s="64"/>
      <c r="W78" s="309"/>
      <c r="Y78" s="309"/>
      <c s="309"/>
    </row>
    <row r="79" spans="1:26" ht="31.5">
      <c r="A79" s="635" t="s">
        <v>687</v>
      </c>
      <c s="1228">
        <v>540044.88</v>
      </c>
      <c s="866"/>
      <c s="1228">
        <v>858925.22999999998</v>
      </c>
      <c s="546"/>
      <c s="546">
        <f t="shared" si="5"/>
        <v>363164.75</v>
      </c>
      <c s="546"/>
      <c s="546"/>
      <c s="546"/>
      <c s="528">
        <f>29600+13500</f>
        <v>43100</v>
      </c>
      <c s="564">
        <f t="shared" si="6"/>
        <v>406264.75</v>
      </c>
      <c s="547"/>
      <c s="738"/>
      <c s="1115"/>
      <c s="738"/>
      <c s="170"/>
      <c s="260"/>
      <c s="260"/>
      <c r="T79" s="63"/>
      <c s="64"/>
      <c r="W79" s="309"/>
      <c r="Y79" s="309"/>
      <c s="309"/>
    </row>
    <row r="80" spans="1:26" ht="31.5">
      <c r="A80" s="635" t="s">
        <v>694</v>
      </c>
      <c s="1241">
        <v>502739.92999999999</v>
      </c>
      <c s="1295"/>
      <c s="1241">
        <v>794971.60999999999</v>
      </c>
      <c s="546"/>
      <c s="546">
        <f t="shared" si="5"/>
        <v>293408.5</v>
      </c>
      <c s="546"/>
      <c s="546"/>
      <c s="546"/>
      <c s="859">
        <v>6250</v>
      </c>
      <c s="564">
        <f t="shared" si="6"/>
        <v>299658.5</v>
      </c>
      <c s="528"/>
      <c s="1115"/>
      <c s="170"/>
      <c s="1115"/>
      <c s="170"/>
      <c s="260"/>
      <c s="260"/>
      <c r="T80" s="63"/>
      <c s="64"/>
      <c r="W80" s="309"/>
      <c r="Y80" s="309"/>
      <c s="309"/>
    </row>
    <row r="81" spans="1:16" ht="31.5">
      <c r="A81" s="635" t="s">
        <v>695</v>
      </c>
      <c s="1241">
        <v>870070.89000000001</v>
      </c>
      <c s="1295"/>
      <c s="1241">
        <v>1388947.54</v>
      </c>
      <c s="546"/>
      <c s="546">
        <f t="shared" si="5"/>
        <v>304627.88</v>
      </c>
      <c s="546"/>
      <c s="546"/>
      <c s="546"/>
      <c s="709">
        <f>15000+5100</f>
        <v>20100</v>
      </c>
      <c s="564">
        <f t="shared" si="6"/>
        <v>324727.88</v>
      </c>
      <c s="859"/>
      <c s="560"/>
      <c s="170"/>
      <c s="170"/>
      <c s="170"/>
    </row>
    <row r="82" spans="1:16" ht="31.5">
      <c r="A82" s="635" t="s">
        <v>697</v>
      </c>
      <c s="1241">
        <v>539644.89000000001</v>
      </c>
      <c s="1295"/>
      <c s="1241">
        <v>828556.57999999996</v>
      </c>
      <c s="546"/>
      <c s="546">
        <f t="shared" si="5"/>
        <v>367764.38</v>
      </c>
      <c s="546"/>
      <c s="546"/>
      <c s="546"/>
      <c s="547">
        <f>27550+21000</f>
        <v>48550</v>
      </c>
      <c s="564">
        <f t="shared" si="6"/>
        <v>416314.38</v>
      </c>
      <c s="746"/>
      <c s="538"/>
      <c s="170"/>
      <c s="170"/>
      <c s="170"/>
    </row>
    <row r="83" spans="1:16" ht="31.5">
      <c r="A83" s="635" t="s">
        <v>699</v>
      </c>
      <c s="1241">
        <v>722615.53000000003</v>
      </c>
      <c s="1293"/>
      <c s="1241">
        <v>1131317.1699999999</v>
      </c>
      <c s="546"/>
      <c s="546"/>
      <c s="546"/>
      <c s="546"/>
      <c s="546"/>
      <c s="547">
        <v>21100</v>
      </c>
      <c s="564">
        <f t="shared" si="6"/>
        <v>21100</v>
      </c>
      <c s="859"/>
      <c s="538"/>
      <c s="170"/>
      <c s="170"/>
      <c s="170"/>
    </row>
    <row r="84" spans="1:16" ht="15.75">
      <c r="A84" s="635" t="s">
        <v>707</v>
      </c>
      <c s="1241"/>
      <c s="1298"/>
      <c s="1241"/>
      <c s="546"/>
      <c s="546"/>
      <c s="546"/>
      <c s="546"/>
      <c s="546"/>
      <c s="547">
        <f>8600+33750</f>
        <v>42350</v>
      </c>
      <c s="564">
        <f t="shared" si="6"/>
        <v>42350</v>
      </c>
      <c s="547"/>
      <c s="171"/>
      <c s="170"/>
      <c s="170"/>
      <c s="170"/>
    </row>
    <row r="85" spans="1:16" ht="31.5">
      <c r="A85" s="635" t="s">
        <v>708</v>
      </c>
      <c s="1241">
        <v>696191.07999999996</v>
      </c>
      <c s="1298"/>
      <c s="1241">
        <v>1089983.02</v>
      </c>
      <c s="546"/>
      <c s="546"/>
      <c s="546"/>
      <c s="546"/>
      <c s="546"/>
      <c s="547"/>
      <c s="564">
        <f t="shared" si="6"/>
        <v>0</v>
      </c>
      <c s="547"/>
      <c s="171"/>
      <c s="170"/>
      <c s="170"/>
      <c s="170"/>
    </row>
    <row r="86" spans="1:16" ht="31.5">
      <c r="A86" s="635" t="s">
        <v>709</v>
      </c>
      <c s="1241">
        <v>563200</v>
      </c>
      <c s="1293"/>
      <c s="1241">
        <v>887640</v>
      </c>
      <c s="546"/>
      <c s="546"/>
      <c s="546"/>
      <c s="546"/>
      <c s="546"/>
      <c s="547">
        <v>22000</v>
      </c>
      <c s="564">
        <f t="shared" si="6"/>
        <v>22000</v>
      </c>
      <c s="547"/>
      <c s="171"/>
      <c s="170"/>
      <c s="170"/>
      <c s="170"/>
    </row>
    <row r="87" spans="1:16" ht="31.5">
      <c r="A87" s="635" t="s">
        <v>712</v>
      </c>
      <c s="1241">
        <v>873210.91000000003</v>
      </c>
      <c s="1298"/>
      <c s="1241">
        <v>1372163.5700000001</v>
      </c>
      <c s="546"/>
      <c s="546"/>
      <c s="546"/>
      <c s="546"/>
      <c s="546"/>
      <c s="547">
        <v>13150</v>
      </c>
      <c s="564">
        <f t="shared" si="6"/>
        <v>13150</v>
      </c>
      <c s="547"/>
      <c s="171"/>
      <c s="170"/>
      <c s="170"/>
      <c s="170"/>
    </row>
    <row r="88" spans="1:16" ht="31.5">
      <c r="A88" s="635" t="s">
        <v>716</v>
      </c>
      <c s="1241">
        <v>242890.17999999999</v>
      </c>
      <c s="1298"/>
      <c s="1241">
        <v>389381.75</v>
      </c>
      <c s="546"/>
      <c s="546"/>
      <c s="546"/>
      <c s="546"/>
      <c s="546"/>
      <c s="528">
        <v>5050</v>
      </c>
      <c s="564">
        <f t="shared" si="6"/>
        <v>5050</v>
      </c>
      <c s="561"/>
      <c s="171"/>
      <c s="170"/>
      <c s="170"/>
      <c s="170"/>
    </row>
    <row r="89" spans="1:16" ht="31.5">
      <c r="A89" s="635" t="s">
        <v>721</v>
      </c>
      <c s="1241">
        <v>795035.66000000003</v>
      </c>
      <c s="1300"/>
      <c s="1241">
        <v>1237285.9299999999</v>
      </c>
      <c s="546"/>
      <c s="546"/>
      <c s="546"/>
      <c s="546"/>
      <c s="546"/>
      <c s="528">
        <v>8500</v>
      </c>
      <c s="564">
        <f t="shared" si="6"/>
        <v>8500</v>
      </c>
      <c s="561"/>
      <c s="171"/>
      <c s="170"/>
      <c s="170"/>
      <c s="170"/>
    </row>
    <row r="90" spans="1:16" ht="31.5">
      <c r="A90" s="635" t="s">
        <v>732</v>
      </c>
      <c s="1231">
        <v>559682.44999999995</v>
      </c>
      <c s="1300"/>
      <c s="1231">
        <v>871244.06999999995</v>
      </c>
      <c s="546"/>
      <c s="546"/>
      <c s="546"/>
      <c s="546"/>
      <c s="546"/>
      <c s="528">
        <f>14000+13500</f>
        <v>27500</v>
      </c>
      <c s="564">
        <f t="shared" si="7" ref="K90:K106">+J90+I90+H90+G90+F90+E90</f>
        <v>27500</v>
      </c>
      <c s="561"/>
      <c s="171"/>
      <c s="170"/>
      <c s="170"/>
      <c s="170"/>
    </row>
    <row r="91" spans="1:16" ht="15.75">
      <c r="A91" s="635"/>
      <c s="1182"/>
      <c s="1301"/>
      <c s="1182"/>
      <c s="546"/>
      <c s="546"/>
      <c s="546"/>
      <c s="546"/>
      <c s="546"/>
      <c s="546"/>
      <c s="564">
        <f t="shared" si="7"/>
        <v>0</v>
      </c>
      <c s="561"/>
      <c s="171"/>
      <c s="170"/>
      <c s="170"/>
      <c s="170"/>
    </row>
    <row r="92" spans="1:16" ht="15.75">
      <c r="A92" s="635"/>
      <c s="1169"/>
      <c s="779"/>
      <c s="1169"/>
      <c s="546"/>
      <c s="546"/>
      <c s="546"/>
      <c s="546"/>
      <c s="546"/>
      <c s="505"/>
      <c s="564">
        <f t="shared" si="7"/>
        <v>0</v>
      </c>
      <c s="561"/>
      <c s="171"/>
      <c s="170"/>
      <c s="170"/>
      <c s="170"/>
    </row>
    <row r="93" spans="1:16" ht="15.75">
      <c r="A93" s="635"/>
      <c s="1166"/>
      <c s="779"/>
      <c s="1166"/>
      <c s="546"/>
      <c s="546"/>
      <c s="546"/>
      <c s="546"/>
      <c s="546"/>
      <c s="547"/>
      <c s="564">
        <f t="shared" si="7"/>
        <v>0</v>
      </c>
      <c s="561"/>
      <c s="171"/>
      <c s="170"/>
      <c s="170"/>
      <c s="170"/>
    </row>
    <row r="94" spans="1:16" ht="15.75">
      <c r="A94" s="635"/>
      <c s="1166"/>
      <c s="866"/>
      <c s="1166"/>
      <c s="546"/>
      <c s="546"/>
      <c s="546"/>
      <c s="546"/>
      <c s="546"/>
      <c s="547"/>
      <c s="564">
        <f t="shared" si="7"/>
        <v>0</v>
      </c>
      <c s="561"/>
      <c s="171"/>
      <c s="170"/>
      <c s="170"/>
      <c s="170"/>
    </row>
    <row r="95" spans="1:16" ht="15.75">
      <c r="A95" s="635"/>
      <c s="1166"/>
      <c s="779"/>
      <c s="1166"/>
      <c s="546"/>
      <c s="546"/>
      <c s="546"/>
      <c s="546"/>
      <c s="546"/>
      <c s="505"/>
      <c s="564">
        <f t="shared" si="7"/>
        <v>0</v>
      </c>
      <c s="561"/>
      <c s="171"/>
      <c s="170"/>
      <c s="170"/>
      <c s="170"/>
    </row>
    <row r="96" spans="1:16" ht="15.75">
      <c r="A96" s="635"/>
      <c s="1172"/>
      <c s="779"/>
      <c s="1172"/>
      <c s="546"/>
      <c s="546"/>
      <c s="546"/>
      <c s="546"/>
      <c s="546"/>
      <c s="546"/>
      <c s="564">
        <f t="shared" si="7"/>
        <v>0</v>
      </c>
      <c s="561"/>
      <c s="171"/>
      <c s="170"/>
      <c s="170"/>
      <c s="170"/>
    </row>
    <row r="97" spans="1:16" ht="15.75">
      <c r="A97" s="635"/>
      <c s="775"/>
      <c s="779"/>
      <c s="775"/>
      <c s="546"/>
      <c s="546"/>
      <c s="546"/>
      <c s="546"/>
      <c s="546"/>
      <c s="505"/>
      <c s="564">
        <f t="shared" si="7"/>
        <v>0</v>
      </c>
      <c s="561"/>
      <c s="171"/>
      <c s="170"/>
      <c s="170"/>
      <c s="170"/>
    </row>
    <row r="98" spans="1:16" ht="15.75">
      <c r="A98" s="635"/>
      <c s="1105"/>
      <c s="1106"/>
      <c s="1111"/>
      <c s="546"/>
      <c s="546"/>
      <c s="546"/>
      <c s="546"/>
      <c s="546"/>
      <c s="505"/>
      <c s="564">
        <f t="shared" si="7"/>
        <v>0</v>
      </c>
      <c s="561"/>
      <c s="171"/>
      <c s="170"/>
      <c s="170"/>
      <c s="170"/>
    </row>
    <row r="99" spans="1:16" ht="15.75">
      <c r="A99" s="635"/>
      <c s="1109"/>
      <c s="779"/>
      <c s="1109"/>
      <c s="546">
        <f t="shared" si="8" ref="E99:H102">+E41</f>
        <v>0</v>
      </c>
      <c s="546">
        <f t="shared" si="8"/>
        <v>0</v>
      </c>
      <c s="546">
        <f t="shared" si="8"/>
        <v>0</v>
      </c>
      <c s="546">
        <f t="shared" si="8"/>
        <v>0</v>
      </c>
      <c s="546"/>
      <c s="505"/>
      <c s="564">
        <f t="shared" si="7"/>
        <v>0</v>
      </c>
      <c s="561"/>
      <c s="171"/>
      <c s="170"/>
      <c s="170"/>
      <c s="170"/>
    </row>
    <row r="100" spans="1:16" ht="15.75">
      <c r="A100" s="635"/>
      <c s="1109"/>
      <c s="779"/>
      <c s="1109"/>
      <c s="546">
        <f t="shared" si="8"/>
        <v>0</v>
      </c>
      <c s="546">
        <f t="shared" si="8"/>
        <v>0</v>
      </c>
      <c s="546">
        <f t="shared" si="8"/>
        <v>0</v>
      </c>
      <c s="546">
        <f t="shared" si="8"/>
        <v>0</v>
      </c>
      <c s="546"/>
      <c s="505"/>
      <c s="564">
        <f t="shared" si="7"/>
        <v>0</v>
      </c>
      <c s="561"/>
      <c s="171"/>
      <c s="170"/>
      <c s="170"/>
      <c s="170"/>
    </row>
    <row r="101" spans="1:16" ht="15.75">
      <c r="A101" s="635"/>
      <c s="1109"/>
      <c s="863"/>
      <c s="1109"/>
      <c s="546">
        <f t="shared" si="8"/>
        <v>0</v>
      </c>
      <c s="546">
        <f t="shared" si="8"/>
        <v>0</v>
      </c>
      <c s="546">
        <f t="shared" si="8"/>
        <v>0</v>
      </c>
      <c s="546">
        <f t="shared" si="8"/>
        <v>0</v>
      </c>
      <c s="546"/>
      <c s="505"/>
      <c s="564">
        <f t="shared" si="7"/>
        <v>0</v>
      </c>
      <c s="561"/>
      <c s="171"/>
      <c s="170"/>
      <c s="170"/>
      <c s="170"/>
    </row>
    <row r="102" spans="1:16" ht="15.75">
      <c r="A102" s="635"/>
      <c s="1110"/>
      <c s="863"/>
      <c s="1110"/>
      <c s="546">
        <f t="shared" si="8"/>
        <v>0</v>
      </c>
      <c s="546">
        <f t="shared" si="8"/>
        <v>0</v>
      </c>
      <c s="546">
        <f t="shared" si="8"/>
        <v>0</v>
      </c>
      <c s="546">
        <f t="shared" si="8"/>
        <v>0</v>
      </c>
      <c s="546"/>
      <c s="505"/>
      <c s="564">
        <f t="shared" si="7"/>
        <v>0</v>
      </c>
      <c s="561"/>
      <c s="171"/>
      <c s="170"/>
      <c s="170"/>
      <c s="170"/>
    </row>
    <row r="103" spans="1:16" ht="15.75">
      <c r="A103" s="635"/>
      <c s="1110"/>
      <c s="863"/>
      <c s="1110"/>
      <c s="546">
        <f t="shared" si="9" ref="E103:H112">+E45</f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7"/>
        <v>0</v>
      </c>
      <c s="561"/>
      <c s="171"/>
      <c s="170"/>
      <c s="170"/>
      <c s="170"/>
    </row>
    <row r="104" spans="1:16" ht="15.75">
      <c r="A104" s="635"/>
      <c s="773"/>
      <c s="863"/>
      <c s="773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7"/>
        <v>0</v>
      </c>
      <c s="561"/>
      <c s="171"/>
      <c s="170"/>
      <c s="170"/>
      <c s="170"/>
    </row>
    <row r="105" spans="1:16" ht="15.75">
      <c r="A105" s="635"/>
      <c s="775"/>
      <c s="863"/>
      <c s="775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7"/>
        <v>0</v>
      </c>
      <c s="561"/>
      <c s="171"/>
      <c s="170"/>
      <c s="170"/>
      <c s="170"/>
    </row>
    <row r="106" spans="1:16" ht="15.75">
      <c r="A106" s="635"/>
      <c s="775"/>
      <c s="776"/>
      <c s="775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7"/>
        <v>0</v>
      </c>
      <c s="561"/>
      <c s="171"/>
      <c s="170"/>
      <c s="170"/>
      <c s="170"/>
    </row>
    <row r="107" spans="1:16" ht="15.75">
      <c r="A107" s="635"/>
      <c s="775"/>
      <c s="776"/>
      <c s="775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10" ref="K107:K117">SUM(B107:J107)</f>
        <v>0</v>
      </c>
      <c s="561"/>
      <c s="171"/>
      <c s="170"/>
      <c s="170"/>
      <c s="170"/>
    </row>
    <row r="108" spans="1:16" ht="15.75">
      <c r="A108" s="635"/>
      <c s="775"/>
      <c s="776"/>
      <c s="775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10"/>
        <v>0</v>
      </c>
      <c s="561"/>
      <c s="171"/>
      <c s="170"/>
      <c s="170"/>
      <c s="170"/>
    </row>
    <row r="109" spans="1:16" ht="15.75">
      <c r="A109" s="635"/>
      <c s="775"/>
      <c s="776"/>
      <c s="775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10"/>
        <v>0</v>
      </c>
      <c s="561"/>
      <c s="171"/>
      <c s="170"/>
      <c s="170"/>
      <c s="170"/>
    </row>
    <row r="110" spans="1:16" ht="15.75">
      <c r="A110" s="635"/>
      <c s="775"/>
      <c s="776"/>
      <c s="775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10"/>
        <v>0</v>
      </c>
      <c s="561"/>
      <c s="171"/>
      <c s="170"/>
      <c s="170"/>
      <c s="170"/>
    </row>
    <row r="111" spans="1:16" ht="15.75">
      <c r="A111" s="635"/>
      <c s="773"/>
      <c s="776"/>
      <c s="773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10"/>
        <v>0</v>
      </c>
      <c s="561"/>
      <c s="171"/>
      <c s="170"/>
      <c s="170"/>
      <c s="170"/>
    </row>
    <row r="112" spans="1:16" ht="15.75">
      <c r="A112" s="635"/>
      <c s="775"/>
      <c s="776"/>
      <c s="775"/>
      <c s="546">
        <f t="shared" si="9"/>
        <v>0</v>
      </c>
      <c s="546">
        <f t="shared" si="9"/>
        <v>0</v>
      </c>
      <c s="546">
        <f t="shared" si="9"/>
        <v>0</v>
      </c>
      <c s="546">
        <f t="shared" si="9"/>
        <v>0</v>
      </c>
      <c s="546"/>
      <c s="505"/>
      <c s="564">
        <f t="shared" si="10"/>
        <v>0</v>
      </c>
      <c s="561"/>
      <c s="171"/>
      <c s="170"/>
      <c s="170"/>
      <c s="170"/>
    </row>
    <row r="113" spans="1:16" ht="15.75">
      <c r="A113" s="635"/>
      <c s="775"/>
      <c s="776"/>
      <c s="775"/>
      <c s="63"/>
      <c s="63"/>
      <c s="63"/>
      <c s="64"/>
      <c s="64"/>
      <c s="505"/>
      <c s="564">
        <f t="shared" si="10"/>
        <v>0</v>
      </c>
      <c s="561"/>
      <c s="171"/>
      <c s="170"/>
      <c s="170"/>
      <c s="170"/>
    </row>
    <row r="114" spans="1:16" ht="15.75">
      <c r="A114" s="635"/>
      <c s="775"/>
      <c s="776"/>
      <c s="775"/>
      <c s="63"/>
      <c s="63"/>
      <c s="63"/>
      <c s="64"/>
      <c s="64"/>
      <c s="505"/>
      <c s="564">
        <f t="shared" si="10"/>
        <v>0</v>
      </c>
      <c s="561"/>
      <c s="171"/>
      <c s="170"/>
      <c s="170"/>
      <c s="170"/>
    </row>
    <row r="115" spans="1:16" ht="15.75">
      <c r="A115" s="635"/>
      <c s="773"/>
      <c s="776"/>
      <c s="773"/>
      <c s="63"/>
      <c s="63"/>
      <c s="63"/>
      <c s="64"/>
      <c s="64"/>
      <c s="505"/>
      <c s="564">
        <f t="shared" si="10"/>
        <v>0</v>
      </c>
      <c s="561"/>
      <c s="171"/>
      <c s="170"/>
      <c s="170"/>
      <c s="170"/>
    </row>
    <row r="116" spans="1:16" ht="15.75">
      <c r="A116" s="635"/>
      <c s="773"/>
      <c s="776"/>
      <c s="773"/>
      <c s="63"/>
      <c s="63"/>
      <c s="63"/>
      <c s="64"/>
      <c s="64"/>
      <c s="315"/>
      <c s="564">
        <f t="shared" si="10"/>
        <v>0</v>
      </c>
      <c s="561"/>
      <c s="171"/>
      <c s="170"/>
      <c s="170"/>
      <c s="170"/>
    </row>
    <row r="117" spans="1:16" ht="15.75">
      <c r="A117" s="663"/>
      <c s="669"/>
      <c s="63"/>
      <c s="665"/>
      <c s="63"/>
      <c s="63"/>
      <c s="63"/>
      <c s="64"/>
      <c s="64"/>
      <c s="315"/>
      <c s="564">
        <f t="shared" si="10"/>
        <v>0</v>
      </c>
      <c s="561"/>
      <c s="171"/>
      <c s="170"/>
      <c s="170"/>
      <c s="170"/>
    </row>
    <row r="118" spans="1:16" ht="15.75">
      <c r="A118" s="663"/>
      <c s="669"/>
      <c s="63"/>
      <c s="665"/>
      <c s="63"/>
      <c s="63"/>
      <c s="63"/>
      <c s="64"/>
      <c s="64"/>
      <c s="315"/>
      <c s="564">
        <f>SUM(B118:J118)</f>
        <v>0</v>
      </c>
      <c s="561"/>
      <c s="171"/>
      <c s="170"/>
      <c s="170"/>
      <c s="170"/>
    </row>
    <row r="119" spans="1:16" ht="15.75">
      <c r="A119" s="663"/>
      <c s="669"/>
      <c s="63"/>
      <c s="665"/>
      <c s="63"/>
      <c s="63"/>
      <c s="63"/>
      <c s="64"/>
      <c s="64"/>
      <c s="315"/>
      <c s="564">
        <f>SUM(B119:J119)</f>
        <v>0</v>
      </c>
      <c s="561"/>
      <c s="171"/>
      <c s="170"/>
      <c s="170"/>
      <c s="170"/>
    </row>
    <row r="120" spans="1:16" ht="15.75">
      <c r="A120" s="663"/>
      <c s="63"/>
      <c s="63"/>
      <c s="63"/>
      <c s="63"/>
      <c s="63"/>
      <c s="63"/>
      <c s="64"/>
      <c s="64"/>
      <c s="315"/>
      <c s="564">
        <f>SUM(B120:J120)</f>
        <v>0</v>
      </c>
      <c s="561"/>
      <c s="171"/>
      <c s="170"/>
      <c s="170"/>
      <c s="170"/>
    </row>
    <row r="121" spans="1:16" ht="15.75">
      <c r="A121" s="663"/>
      <c s="63"/>
      <c s="63"/>
      <c s="63"/>
      <c s="63"/>
      <c s="63"/>
      <c s="63"/>
      <c s="64"/>
      <c s="64"/>
      <c s="315"/>
      <c s="564">
        <f>SUM(B121:J121)</f>
        <v>0</v>
      </c>
      <c s="561"/>
      <c s="171"/>
      <c s="170"/>
      <c s="170"/>
      <c s="170"/>
    </row>
    <row r="122" spans="1:16" ht="15.75">
      <c r="A122" s="663"/>
      <c s="63"/>
      <c s="63"/>
      <c s="63"/>
      <c s="63"/>
      <c s="63"/>
      <c s="63"/>
      <c s="64"/>
      <c s="64"/>
      <c s="315"/>
      <c s="564">
        <f>SUM(B122:J122)</f>
        <v>0</v>
      </c>
      <c s="561"/>
      <c s="171"/>
      <c s="170"/>
      <c s="170"/>
      <c s="170"/>
    </row>
    <row r="123" spans="1:16" ht="35.25" customHeight="1" hidden="1">
      <c r="A123" s="663"/>
      <c s="63"/>
      <c s="63"/>
      <c s="63"/>
      <c s="63"/>
      <c s="63"/>
      <c s="63"/>
      <c s="64"/>
      <c s="64"/>
      <c s="315"/>
      <c s="564"/>
      <c s="561"/>
      <c s="171"/>
      <c s="170"/>
      <c s="170"/>
      <c s="170"/>
    </row>
    <row r="124" spans="1:16" ht="35.25" customHeight="1" hidden="1">
      <c r="A124" s="668"/>
      <c s="63"/>
      <c s="63"/>
      <c s="63"/>
      <c s="63"/>
      <c s="63"/>
      <c s="63"/>
      <c s="64"/>
      <c s="64"/>
      <c s="315"/>
      <c s="564"/>
      <c s="561"/>
      <c s="171"/>
      <c s="170"/>
      <c s="170"/>
      <c s="170"/>
    </row>
    <row r="125" spans="1:16" ht="26.25" customHeight="1" hidden="1">
      <c r="A125" s="668"/>
      <c s="63"/>
      <c s="63"/>
      <c s="63"/>
      <c s="63"/>
      <c s="63"/>
      <c s="63"/>
      <c s="64"/>
      <c s="64"/>
      <c s="315"/>
      <c s="564"/>
      <c s="561"/>
      <c s="171"/>
      <c s="170"/>
      <c s="170"/>
      <c s="170"/>
    </row>
    <row r="126" spans="1:16" ht="18" customHeight="1" hidden="1">
      <c r="A126" s="111"/>
      <c s="63"/>
      <c s="63"/>
      <c s="63"/>
      <c s="63"/>
      <c s="63"/>
      <c s="63"/>
      <c s="64"/>
      <c s="64"/>
      <c s="64"/>
      <c s="564">
        <f>SUM(B126:J126)</f>
        <v>0</v>
      </c>
      <c s="561"/>
      <c s="171"/>
      <c s="170"/>
      <c s="170"/>
      <c s="170"/>
    </row>
    <row r="127" spans="1:29" ht="18" customHeight="1">
      <c r="A127" s="111" t="s">
        <v>118</v>
      </c>
      <c s="63"/>
      <c s="63"/>
      <c s="63"/>
      <c s="63"/>
      <c s="63"/>
      <c s="63"/>
      <c s="64"/>
      <c s="64"/>
      <c s="505"/>
      <c s="564">
        <f>SUM(B127:J127)</f>
        <v>0</v>
      </c>
      <c s="561"/>
      <c s="171"/>
      <c s="171"/>
      <c s="171"/>
      <c s="171"/>
      <c s="154"/>
      <c s="154"/>
      <c s="154"/>
      <c s="154"/>
      <c s="154"/>
      <c s="154"/>
      <c s="154"/>
      <c s="154"/>
      <c s="154"/>
      <c s="154"/>
      <c s="154"/>
      <c s="154"/>
      <c s="154"/>
    </row>
    <row r="128" spans="1:29" ht="18" customHeight="1" thickBot="1">
      <c r="A128" s="4" t="s">
        <v>119</v>
      </c>
      <c s="65">
        <f>SUM(B69:B127)</f>
        <v>10764753.679999998</v>
      </c>
      <c s="65">
        <f t="shared" si="11" ref="C128:K128">SUM(C69:C127)</f>
        <v>0</v>
      </c>
      <c s="65">
        <f t="shared" si="11"/>
        <v>17147580.870000001</v>
      </c>
      <c s="65">
        <f t="shared" si="11"/>
        <v>0</v>
      </c>
      <c s="65">
        <f t="shared" si="11"/>
        <v>4085131.7799999998</v>
      </c>
      <c s="65">
        <f t="shared" si="11"/>
        <v>0</v>
      </c>
      <c s="65">
        <f t="shared" si="11"/>
        <v>0</v>
      </c>
      <c s="65">
        <f t="shared" si="11"/>
        <v>0</v>
      </c>
      <c s="65">
        <f>SUM(J69:J122)</f>
        <v>893100</v>
      </c>
      <c s="65">
        <f t="shared" si="11"/>
        <v>4978231.7799999993</v>
      </c>
      <c s="174"/>
      <c s="171"/>
      <c s="171"/>
      <c s="171"/>
      <c s="171"/>
      <c s="154"/>
      <c s="154"/>
      <c s="154"/>
      <c s="154"/>
      <c s="154"/>
      <c s="154"/>
      <c s="154"/>
      <c s="154"/>
      <c s="154"/>
      <c s="154"/>
      <c s="154"/>
      <c s="154"/>
      <c s="154"/>
    </row>
    <row r="129" spans="1:29" ht="18" customHeight="1">
      <c r="A129" s="67" t="s">
        <v>70</v>
      </c>
      <c s="68"/>
      <c s="68"/>
      <c s="68"/>
      <c s="68"/>
      <c s="68"/>
      <c s="68"/>
      <c s="68"/>
      <c s="68"/>
      <c s="68"/>
      <c s="69"/>
      <c s="171"/>
      <c s="171"/>
      <c s="171"/>
      <c s="171"/>
      <c s="171"/>
      <c s="154"/>
      <c s="154"/>
      <c s="154"/>
      <c s="154"/>
      <c s="154"/>
      <c s="154"/>
      <c s="154"/>
      <c s="154"/>
      <c s="154"/>
      <c s="154"/>
      <c s="154"/>
      <c s="154"/>
      <c s="154"/>
    </row>
    <row r="130" spans="1:29" ht="18" customHeight="1">
      <c r="A130" s="4" t="s">
        <v>100</v>
      </c>
      <c s="113"/>
      <c s="112"/>
      <c s="112"/>
      <c s="112"/>
      <c s="112"/>
      <c s="112"/>
      <c s="112"/>
      <c s="112"/>
      <c s="112"/>
      <c s="566">
        <f>SUM(B130:J130)</f>
        <v>0</v>
      </c>
      <c s="171"/>
      <c s="171"/>
      <c s="171"/>
      <c s="171"/>
      <c s="171"/>
      <c s="172"/>
      <c s="154"/>
      <c s="154"/>
      <c s="154"/>
      <c s="154"/>
      <c s="154"/>
      <c s="154"/>
      <c s="154"/>
      <c s="154"/>
      <c s="154"/>
      <c s="154"/>
      <c s="154"/>
      <c s="154"/>
    </row>
    <row r="131" spans="1:29" ht="16.5" thickBot="1">
      <c r="A131" s="4" t="s">
        <v>331</v>
      </c>
      <c s="751">
        <v>214636.39000000001</v>
      </c>
      <c s="751">
        <v>15695683.08</v>
      </c>
      <c s="751">
        <v>521121.67999999999</v>
      </c>
      <c s="752">
        <v>0</v>
      </c>
      <c s="752">
        <v>0</v>
      </c>
      <c s="752">
        <v>0</v>
      </c>
      <c s="752"/>
      <c s="752"/>
      <c s="752">
        <v>4050</v>
      </c>
      <c s="567">
        <f>SUM(B131:J131)</f>
        <v>16435491.15</v>
      </c>
      <c s="174"/>
      <c s="174"/>
      <c s="174"/>
      <c s="174"/>
      <c s="174"/>
      <c s="154"/>
      <c s="154"/>
      <c s="154"/>
      <c s="154"/>
      <c s="154"/>
      <c s="154"/>
      <c s="154"/>
      <c s="154"/>
      <c s="154"/>
      <c s="154"/>
      <c s="154"/>
      <c s="154"/>
      <c s="154"/>
    </row>
    <row r="132" spans="14:29" ht="13.5" thickTop="1">
      <c r="N132" s="154"/>
      <c s="154"/>
      <c s="154"/>
      <c s="154"/>
      <c s="154"/>
      <c s="154"/>
      <c s="154"/>
      <c s="154"/>
      <c s="154"/>
      <c s="154"/>
      <c s="154"/>
      <c s="154"/>
      <c s="154"/>
      <c s="154"/>
      <c s="154"/>
      <c s="154"/>
    </row>
    <row r="133" spans="4:29" ht="12.75">
      <c r="D133" s="114"/>
      <c s="114"/>
      <c s="114"/>
      <c r="J133" s="114"/>
      <c r="N133" s="154"/>
      <c s="154"/>
      <c s="154"/>
      <c s="154"/>
      <c s="154"/>
      <c s="154"/>
      <c s="154"/>
      <c s="154"/>
      <c s="154"/>
      <c s="154"/>
      <c s="154"/>
      <c s="154"/>
      <c s="154"/>
      <c s="154"/>
      <c s="154"/>
      <c s="154"/>
    </row>
    <row r="134" spans="2:12" ht="12.75">
      <c r="B134" s="114"/>
      <c s="114"/>
      <c s="114"/>
      <c s="114"/>
      <c s="114"/>
      <c r="J134" s="114"/>
      <c s="198"/>
      <c s="571"/>
    </row>
    <row r="135" spans="4:10" ht="12.75">
      <c r="D135" s="256"/>
      <c r="J135" s="198"/>
    </row>
    <row r="136" spans="1:13" s="199" customFormat="1" ht="12.75">
      <c r="A136" s="257"/>
      <c s="257"/>
      <c s="200"/>
      <c s="200"/>
      <c s="200"/>
      <c s="200"/>
      <c s="200"/>
      <c s="200"/>
      <c s="200"/>
      <c r="L136" s="572"/>
      <c s="572"/>
    </row>
    <row r="137" spans="1:13" s="199" customFormat="1" ht="12.75">
      <c r="A137" s="257"/>
      <c s="257"/>
      <c s="261"/>
      <c s="257"/>
      <c s="257"/>
      <c s="257"/>
      <c r="L137" s="572"/>
      <c s="572"/>
    </row>
    <row r="138" spans="1:13" s="199" customFormat="1" ht="18.75">
      <c r="A138" s="278" t="s">
        <v>310</v>
      </c>
      <c s="257"/>
      <c s="258"/>
      <c s="257"/>
      <c s="257"/>
      <c s="257"/>
      <c s="263"/>
      <c s="263"/>
      <c s="263"/>
      <c s="263"/>
      <c r="L138" s="572"/>
      <c s="572"/>
    </row>
    <row r="139" spans="1:10" ht="12.75">
      <c r="A139" s="56"/>
      <c s="56"/>
      <c s="259"/>
      <c s="56"/>
      <c s="56"/>
      <c s="56"/>
      <c s="256"/>
      <c s="256"/>
      <c s="256"/>
      <c s="256"/>
    </row>
    <row r="140" spans="1:9" ht="16.5" thickBot="1">
      <c r="A140" s="56"/>
      <c s="260"/>
      <c s="260"/>
      <c s="260"/>
      <c s="260"/>
      <c s="260"/>
      <c s="256"/>
      <c s="256"/>
      <c s="256"/>
    </row>
    <row r="141" spans="1:13" ht="63.75" thickBot="1">
      <c r="A141" s="57" t="s">
        <v>14</v>
      </c>
      <c s="654" t="s">
        <v>68</v>
      </c>
      <c s="672" t="s">
        <v>161</v>
      </c>
      <c s="673" t="s">
        <v>169</v>
      </c>
      <c s="58" t="s">
        <v>234</v>
      </c>
      <c s="59" t="s">
        <v>234</v>
      </c>
      <c s="237" t="s">
        <v>170</v>
      </c>
      <c s="237"/>
      <c s="237"/>
      <c s="237" t="s">
        <v>171</v>
      </c>
      <c s="563" t="s">
        <v>69</v>
      </c>
      <c s="169"/>
      <c/>
    </row>
    <row r="142" spans="1:13" ht="15.75">
      <c r="A142" s="858" t="s">
        <v>655</v>
      </c>
      <c s="771">
        <v>322.02999999999997</v>
      </c>
      <c s="776"/>
      <c s="771">
        <v>769.65999999999997</v>
      </c>
      <c s="568"/>
      <c s="63"/>
      <c s="63">
        <v>0</v>
      </c>
      <c s="63"/>
      <c s="63"/>
      <c s="63">
        <v>0</v>
      </c>
      <c s="562"/>
      <c s="171"/>
      <c/>
    </row>
    <row r="143" spans="1:13" ht="29.25" customHeight="1">
      <c r="A143" s="858" t="s">
        <v>656</v>
      </c>
      <c s="771">
        <v>481.61000000000001</v>
      </c>
      <c s="776"/>
      <c s="771">
        <v>779.00999999999999</v>
      </c>
      <c s="772"/>
      <c s="63"/>
      <c s="63"/>
      <c s="63"/>
      <c s="63"/>
      <c s="63"/>
      <c s="562">
        <f>+D143+B143+C143</f>
        <v>1260.6199999999999</v>
      </c>
      <c s="171"/>
      <c/>
    </row>
    <row r="144" spans="1:13" ht="15.75">
      <c r="A144" s="858" t="s">
        <v>661</v>
      </c>
      <c s="1229">
        <v>899.32000000000005</v>
      </c>
      <c s="1230"/>
      <c s="1231">
        <v>1427.3599999999999</v>
      </c>
      <c s="772"/>
      <c s="568"/>
      <c s="63"/>
      <c s="63"/>
      <c s="63"/>
      <c s="63"/>
      <c s="562">
        <f>+D144+B144+C144</f>
        <v>2326.6799999999998</v>
      </c>
      <c s="171"/>
      <c/>
    </row>
    <row r="145" spans="1:13" ht="15.75">
      <c r="A145" s="739" t="s">
        <v>663</v>
      </c>
      <c s="1237">
        <v>493.45999999999998</v>
      </c>
      <c s="771"/>
      <c s="1237">
        <v>768.40999999999997</v>
      </c>
      <c s="772"/>
      <c s="568"/>
      <c s="63"/>
      <c s="63"/>
      <c s="63"/>
      <c s="63"/>
      <c s="562">
        <f t="shared" si="12" ref="K145:K173">+D145+B145+C145</f>
        <v>1261.8699999999999</v>
      </c>
      <c s="171"/>
      <c/>
    </row>
    <row r="146" spans="1:13" ht="15.75">
      <c r="A146" s="739" t="s">
        <v>669</v>
      </c>
      <c s="1240">
        <v>773.82000000000005</v>
      </c>
      <c s="1239"/>
      <c s="1241">
        <v>1258.3399999999999</v>
      </c>
      <c s="1138"/>
      <c s="568"/>
      <c s="63"/>
      <c s="64"/>
      <c s="64"/>
      <c s="64"/>
      <c s="562">
        <f t="shared" si="12"/>
        <v>2032.1599999999999</v>
      </c>
      <c s="171"/>
      <c/>
    </row>
    <row r="147" spans="1:13" ht="15.75">
      <c r="A147" s="739" t="s">
        <v>675</v>
      </c>
      <c s="1229">
        <v>598.88</v>
      </c>
      <c s="1239"/>
      <c s="1229">
        <v>968.33000000000004</v>
      </c>
      <c s="1175"/>
      <c s="1137"/>
      <c s="63"/>
      <c s="64"/>
      <c s="64"/>
      <c s="64"/>
      <c s="562">
        <f t="shared" si="13" ref="K147:K153">+D147+B147+C147</f>
        <v>1567.21</v>
      </c>
      <c s="171"/>
      <c/>
    </row>
    <row r="148" spans="1:13" ht="15.75">
      <c r="A148" s="739" t="s">
        <v>678</v>
      </c>
      <c s="1229">
        <v>226.43000000000001</v>
      </c>
      <c s="1239"/>
      <c s="1229">
        <v>352.94</v>
      </c>
      <c s="1175"/>
      <c s="1137"/>
      <c s="63"/>
      <c s="64"/>
      <c s="64"/>
      <c s="64"/>
      <c s="562">
        <f t="shared" si="13"/>
        <v>579.37</v>
      </c>
      <c s="171"/>
      <c/>
    </row>
    <row r="149" spans="1:13" ht="15.75">
      <c r="A149" s="739" t="s">
        <v>682</v>
      </c>
      <c s="1231">
        <v>1088.47</v>
      </c>
      <c s="1292"/>
      <c s="1231">
        <v>1706.9200000000001</v>
      </c>
      <c s="1139"/>
      <c s="774"/>
      <c s="63"/>
      <c s="64"/>
      <c s="64"/>
      <c s="64"/>
      <c s="562">
        <f t="shared" si="13"/>
        <v>2795.3900000000003</v>
      </c>
      <c s="171"/>
      <c/>
    </row>
    <row r="150" spans="1:13" ht="15.75">
      <c r="A150" s="739" t="s">
        <v>685</v>
      </c>
      <c s="1229">
        <v>905.12</v>
      </c>
      <c s="1292"/>
      <c s="1231">
        <v>1414.77</v>
      </c>
      <c s="780"/>
      <c s="774"/>
      <c s="63"/>
      <c s="64"/>
      <c s="64"/>
      <c s="64"/>
      <c s="562">
        <f t="shared" si="13"/>
        <v>2319.8899999999999</v>
      </c>
      <c s="171"/>
      <c/>
    </row>
    <row r="151" spans="1:13" ht="15.75">
      <c r="A151" s="739" t="s">
        <v>688</v>
      </c>
      <c s="1229">
        <v>810.07000000000005</v>
      </c>
      <c s="1293"/>
      <c s="1231">
        <v>1288.3900000000001</v>
      </c>
      <c s="780"/>
      <c s="774"/>
      <c s="63"/>
      <c s="64"/>
      <c s="64"/>
      <c s="64"/>
      <c s="562">
        <f t="shared" si="13"/>
        <v>2098.46</v>
      </c>
      <c s="171"/>
      <c/>
    </row>
    <row r="152" spans="1:13" ht="15.75">
      <c r="A152" s="739" t="s">
        <v>691</v>
      </c>
      <c s="1229">
        <v>754.11000000000001</v>
      </c>
      <c s="1239"/>
      <c s="1231">
        <v>1192.46</v>
      </c>
      <c s="865"/>
      <c s="774"/>
      <c s="63"/>
      <c s="64"/>
      <c s="64"/>
      <c s="64"/>
      <c s="562">
        <f t="shared" si="13"/>
        <v>1946.5700000000002</v>
      </c>
      <c s="171"/>
      <c/>
    </row>
    <row r="153" spans="1:13" ht="15.75">
      <c r="A153" s="739" t="s">
        <v>693</v>
      </c>
      <c s="1231">
        <v>1305.1099999999999</v>
      </c>
      <c s="1292"/>
      <c s="1231">
        <v>2083.4200000000001</v>
      </c>
      <c s="865"/>
      <c s="774"/>
      <c s="63"/>
      <c s="64"/>
      <c s="64"/>
      <c s="64"/>
      <c s="562">
        <f t="shared" si="13"/>
        <v>3388.5299999999997</v>
      </c>
      <c s="171"/>
      <c/>
    </row>
    <row r="154" spans="1:13" ht="15.75">
      <c r="A154" s="739" t="s">
        <v>698</v>
      </c>
      <c s="1229">
        <v>809.47000000000003</v>
      </c>
      <c s="1239"/>
      <c s="1231">
        <v>1242.8299999999999</v>
      </c>
      <c s="865"/>
      <c s="774"/>
      <c s="63"/>
      <c s="64"/>
      <c s="64"/>
      <c s="64"/>
      <c s="562">
        <f t="shared" si="12"/>
        <v>2052.3000000000002</v>
      </c>
      <c s="171"/>
      <c/>
    </row>
    <row r="155" spans="1:13" ht="15.75">
      <c r="A155" s="739" t="s">
        <v>700</v>
      </c>
      <c s="1231">
        <v>1083.9200000000001</v>
      </c>
      <c s="1296"/>
      <c s="1231">
        <v>1696.98</v>
      </c>
      <c s="865"/>
      <c s="774"/>
      <c s="63"/>
      <c s="64"/>
      <c s="64"/>
      <c s="64"/>
      <c s="562">
        <f>+D155+B83+C155</f>
        <v>724312.51000000001</v>
      </c>
      <c s="171"/>
      <c/>
    </row>
    <row r="156" spans="1:13" ht="15.75">
      <c r="A156" s="739" t="s">
        <v>705</v>
      </c>
      <c s="1231">
        <v>1044.29</v>
      </c>
      <c s="1296"/>
      <c s="1231">
        <v>1634.97</v>
      </c>
      <c s="865"/>
      <c s="774"/>
      <c s="63"/>
      <c s="64"/>
      <c s="64"/>
      <c s="64"/>
      <c s="562">
        <f t="shared" si="12"/>
        <v>2679.2600000000002</v>
      </c>
      <c s="171"/>
      <c/>
    </row>
    <row r="157" spans="1:12" ht="15.75">
      <c r="A157" s="739" t="s">
        <v>706</v>
      </c>
      <c s="1229">
        <v>844.79999999999995</v>
      </c>
      <c s="1297"/>
      <c s="1231">
        <v>1331.46</v>
      </c>
      <c s="780"/>
      <c s="774"/>
      <c s="63"/>
      <c s="64"/>
      <c s="64"/>
      <c s="64"/>
      <c s="562">
        <f>+D157+B157+C157</f>
        <v>2176.2600000000002</v>
      </c>
      <c s="171"/>
    </row>
    <row r="158" spans="1:13" ht="15.75">
      <c r="A158" s="739" t="s">
        <v>713</v>
      </c>
      <c s="1231">
        <v>1309.8199999999999</v>
      </c>
      <c s="1299"/>
      <c s="1231">
        <v>2058.25</v>
      </c>
      <c s="780"/>
      <c s="774"/>
      <c s="63"/>
      <c s="63"/>
      <c s="63"/>
      <c s="63"/>
      <c s="562">
        <f t="shared" si="12"/>
        <v>3368.0699999999997</v>
      </c>
      <c s="171"/>
      <c s="171"/>
    </row>
    <row r="159" spans="1:13" ht="15.75">
      <c r="A159" s="739" t="s">
        <v>717</v>
      </c>
      <c s="1229">
        <v>364.33999999999997</v>
      </c>
      <c s="1296"/>
      <c s="1229">
        <v>584.07000000000005</v>
      </c>
      <c s="780"/>
      <c s="774"/>
      <c s="63"/>
      <c s="63"/>
      <c s="63"/>
      <c s="63"/>
      <c s="562">
        <f t="shared" si="12"/>
        <v>948.41000000000008</v>
      </c>
      <c s="171"/>
      <c s="171"/>
    </row>
    <row r="160" spans="1:13" ht="15.75">
      <c r="A160" s="739" t="s">
        <v>722</v>
      </c>
      <c s="1231">
        <v>1192.55</v>
      </c>
      <c s="1296"/>
      <c s="1231">
        <v>1855.9300000000001</v>
      </c>
      <c s="854"/>
      <c s="774"/>
      <c s="63"/>
      <c s="63"/>
      <c s="63"/>
      <c s="63"/>
      <c s="562">
        <f t="shared" si="12"/>
        <v>3048.48</v>
      </c>
      <c s="171"/>
      <c s="171"/>
    </row>
    <row r="161" spans="1:13" ht="15.75">
      <c r="A161" s="739" t="s">
        <v>733</v>
      </c>
      <c s="1240">
        <v>839.51999999999998</v>
      </c>
      <c s="1296"/>
      <c s="1241">
        <v>1306.8699999999999</v>
      </c>
      <c s="854"/>
      <c s="774"/>
      <c s="63"/>
      <c s="63"/>
      <c s="63"/>
      <c s="63"/>
      <c s="562">
        <f t="shared" si="12"/>
        <v>2146.3899999999999</v>
      </c>
      <c s="171"/>
      <c s="171"/>
    </row>
    <row r="162" spans="1:13" ht="15.75">
      <c r="A162" s="635"/>
      <c s="1181"/>
      <c s="771"/>
      <c s="1181"/>
      <c s="854"/>
      <c s="774"/>
      <c s="63"/>
      <c s="63"/>
      <c s="63"/>
      <c s="63"/>
      <c s="562">
        <f t="shared" si="12"/>
        <v>0</v>
      </c>
      <c s="171"/>
      <c s="171"/>
    </row>
    <row r="163" spans="1:13" ht="15.75">
      <c r="A163" s="635"/>
      <c s="1167"/>
      <c s="777"/>
      <c s="1167"/>
      <c s="301"/>
      <c s="301"/>
      <c s="301"/>
      <c s="301"/>
      <c s="301"/>
      <c s="301"/>
      <c s="562">
        <f t="shared" si="12"/>
        <v>0</v>
      </c>
      <c s="171"/>
      <c s="171"/>
    </row>
    <row r="164" spans="1:13" ht="15.75">
      <c r="A164" s="635"/>
      <c s="1108"/>
      <c s="777"/>
      <c s="1108"/>
      <c s="301"/>
      <c s="301"/>
      <c s="301"/>
      <c s="301"/>
      <c s="301"/>
      <c s="301"/>
      <c s="562">
        <f t="shared" si="12"/>
        <v>0</v>
      </c>
      <c s="171"/>
      <c s="171"/>
    </row>
    <row r="165" spans="1:13" ht="15.75">
      <c r="A165" s="858"/>
      <c s="1108"/>
      <c s="777"/>
      <c s="1108"/>
      <c s="301"/>
      <c s="301"/>
      <c s="301"/>
      <c s="301"/>
      <c s="301"/>
      <c s="301"/>
      <c s="562">
        <f t="shared" si="12"/>
        <v>0</v>
      </c>
      <c s="171"/>
      <c s="171"/>
    </row>
    <row r="166" spans="1:13" ht="15.75">
      <c r="A166" s="858"/>
      <c s="1112"/>
      <c s="777"/>
      <c s="1109"/>
      <c s="678"/>
      <c s="301"/>
      <c s="301"/>
      <c s="301"/>
      <c s="301"/>
      <c s="301"/>
      <c s="562">
        <f>+D166+B166+C166</f>
        <v>0</v>
      </c>
      <c s="171"/>
      <c s="171"/>
    </row>
    <row r="167" spans="1:13" ht="15.75">
      <c r="A167" s="858"/>
      <c s="1112"/>
      <c s="777"/>
      <c s="1112"/>
      <c s="678"/>
      <c s="301"/>
      <c s="301"/>
      <c s="301"/>
      <c s="301"/>
      <c s="301"/>
      <c s="562">
        <f>+D167+B167+C167</f>
        <v>0</v>
      </c>
      <c s="171"/>
      <c s="171"/>
    </row>
    <row r="168" spans="1:13" ht="15.75">
      <c r="A168" s="858"/>
      <c s="1097"/>
      <c s="777"/>
      <c s="773"/>
      <c s="678"/>
      <c s="301"/>
      <c s="301"/>
      <c s="301"/>
      <c s="301"/>
      <c s="301"/>
      <c s="562">
        <f>+D168+B168+C168</f>
        <v>0</v>
      </c>
      <c s="171"/>
      <c s="171"/>
    </row>
    <row r="169" spans="1:13" ht="15.75">
      <c r="A169" s="858"/>
      <c s="1097"/>
      <c s="777"/>
      <c s="1097"/>
      <c s="678"/>
      <c s="301"/>
      <c s="301"/>
      <c s="301"/>
      <c s="301"/>
      <c s="301"/>
      <c s="562">
        <f t="shared" si="12"/>
        <v>0</v>
      </c>
      <c s="171"/>
      <c s="171"/>
    </row>
    <row r="170" spans="1:13" ht="15.75">
      <c r="A170" s="858"/>
      <c s="775"/>
      <c s="777"/>
      <c s="775"/>
      <c s="678"/>
      <c s="301"/>
      <c s="301"/>
      <c s="301"/>
      <c s="301"/>
      <c s="301"/>
      <c s="562">
        <f t="shared" si="12"/>
        <v>0</v>
      </c>
      <c s="171"/>
      <c s="171"/>
    </row>
    <row r="171" spans="1:13" ht="15.75">
      <c r="A171" s="60"/>
      <c s="778"/>
      <c s="777"/>
      <c s="775"/>
      <c s="678"/>
      <c s="301"/>
      <c s="301"/>
      <c s="301"/>
      <c s="301"/>
      <c s="301"/>
      <c s="562">
        <f t="shared" si="12"/>
        <v>0</v>
      </c>
      <c s="171"/>
      <c s="171"/>
    </row>
    <row r="172" spans="1:13" ht="15.75">
      <c r="A172" s="635"/>
      <c s="771"/>
      <c s="776"/>
      <c s="771"/>
      <c s="678"/>
      <c s="301"/>
      <c s="301"/>
      <c s="301"/>
      <c s="301"/>
      <c s="301"/>
      <c s="562">
        <f t="shared" si="12"/>
        <v>0</v>
      </c>
      <c s="171"/>
      <c s="171"/>
    </row>
    <row r="173" spans="1:13" ht="15.75">
      <c r="A173" s="60"/>
      <c s="301"/>
      <c s="301"/>
      <c s="301"/>
      <c s="301"/>
      <c s="301"/>
      <c s="301"/>
      <c s="301"/>
      <c s="301"/>
      <c s="301"/>
      <c s="562">
        <f t="shared" si="12"/>
        <v>0</v>
      </c>
      <c s="171"/>
      <c s="171"/>
    </row>
    <row r="174" spans="1:24" ht="18" customHeight="1" thickBot="1">
      <c r="A174" s="175" t="s">
        <v>128</v>
      </c>
      <c s="65">
        <f>+SUM(B142:B173)</f>
        <v>16147.139999999999</v>
      </c>
      <c s="65">
        <f>+SUM(C142:C173)</f>
        <v>0</v>
      </c>
      <c s="65">
        <f>+SUM(D142:D173)</f>
        <v>25721.369999999999</v>
      </c>
      <c s="65"/>
      <c s="65"/>
      <c s="65">
        <f>SUM(G142:G173)</f>
        <v>0</v>
      </c>
      <c s="65"/>
      <c s="65"/>
      <c s="65">
        <f>SUM(J142:J173)</f>
        <v>0</v>
      </c>
      <c s="565">
        <f>SUM(K143:K173)</f>
        <v>762308.43000000005</v>
      </c>
      <c s="174"/>
      <c s="171"/>
      <c s="568"/>
      <c s="171"/>
      <c s="171"/>
      <c s="251"/>
      <c s="181"/>
      <c s="154"/>
      <c s="154"/>
      <c s="154"/>
      <c s="154"/>
      <c s="154"/>
      <c s="154"/>
    </row>
    <row r="175" spans="1:24" ht="18" customHeight="1" thickBot="1">
      <c r="A175" s="67" t="s">
        <v>174</v>
      </c>
      <c s="68"/>
      <c s="68"/>
      <c s="68"/>
      <c s="68"/>
      <c s="68"/>
      <c s="68"/>
      <c s="68"/>
      <c s="68"/>
      <c s="68"/>
      <c s="69"/>
      <c s="171"/>
      <c s="537">
        <v>26250</v>
      </c>
      <c s="287">
        <v>3200</v>
      </c>
      <c s="260"/>
      <c s="260"/>
      <c s="260"/>
      <c s="251"/>
      <c s="154"/>
      <c s="154"/>
      <c s="154"/>
      <c s="154"/>
      <c s="154"/>
      <c s="154"/>
    </row>
    <row r="176" spans="1:24" ht="18" customHeight="1" thickBot="1">
      <c r="A176" s="67"/>
      <c s="70">
        <v>0</v>
      </c>
      <c s="71">
        <v>0</v>
      </c>
      <c s="71">
        <v>0</v>
      </c>
      <c s="71"/>
      <c s="71"/>
      <c s="71">
        <v>0</v>
      </c>
      <c s="72"/>
      <c s="72"/>
      <c s="72"/>
      <c s="445">
        <f>SUM(B176:G176)</f>
        <v>0</v>
      </c>
      <c s="171"/>
      <c s="171"/>
      <c s="171"/>
      <c s="171"/>
      <c s="171"/>
      <c s="251"/>
      <c s="251"/>
      <c s="154"/>
      <c s="154"/>
      <c s="154"/>
      <c s="154"/>
      <c s="154"/>
      <c s="154"/>
    </row>
    <row r="177" spans="1:24" ht="18" customHeight="1">
      <c r="A177" s="67"/>
      <c s="73"/>
      <c s="74">
        <v>0</v>
      </c>
      <c s="74">
        <v>0</v>
      </c>
      <c s="74"/>
      <c s="74"/>
      <c s="74">
        <v>0</v>
      </c>
      <c s="75"/>
      <c s="75"/>
      <c s="75"/>
      <c s="446">
        <f>SUM(B177:G177)</f>
        <v>0</v>
      </c>
      <c s="171"/>
      <c s="171"/>
      <c s="171"/>
      <c s="171"/>
      <c s="171"/>
      <c s="251"/>
      <c s="251"/>
      <c s="154"/>
      <c s="154"/>
      <c s="154"/>
      <c s="154"/>
      <c s="154"/>
      <c s="154"/>
    </row>
    <row r="178" spans="1:24" ht="18" customHeight="1" thickBot="1">
      <c r="A178" s="4" t="s">
        <v>202</v>
      </c>
      <c s="76">
        <f>+B174-B176-B177</f>
        <v>16147.139999999999</v>
      </c>
      <c s="76">
        <f>+C174-C176-C177</f>
        <v>0</v>
      </c>
      <c s="76">
        <f>+D174-D176-D177</f>
        <v>25721.369999999999</v>
      </c>
      <c s="76">
        <f>E174+E176-E177</f>
        <v>0</v>
      </c>
      <c s="77"/>
      <c s="77">
        <f>G174+G176-G177</f>
        <v>0</v>
      </c>
      <c s="78"/>
      <c s="78"/>
      <c s="78">
        <f>J174+J176-J177</f>
        <v>0</v>
      </c>
      <c s="447">
        <f>K174+K176-K177</f>
        <v>762308.43000000005</v>
      </c>
      <c s="171"/>
      <c s="171"/>
      <c s="171"/>
      <c s="171"/>
      <c s="171"/>
      <c s="251"/>
      <c s="251"/>
      <c s="154"/>
      <c s="154"/>
      <c s="154"/>
      <c s="154"/>
      <c s="154"/>
      <c s="154"/>
    </row>
    <row r="179" spans="1:24" ht="18" customHeight="1" thickTop="1" thickBot="1">
      <c r="A179" s="1359"/>
      <c s="1359"/>
      <c s="1359"/>
      <c s="1359"/>
      <c s="1359"/>
      <c s="1359"/>
      <c s="1359"/>
      <c s="1359"/>
      <c s="1359"/>
      <c s="1359"/>
      <c s="1359"/>
      <c s="265"/>
      <c s="265"/>
      <c s="265"/>
      <c s="265"/>
      <c s="265"/>
      <c s="251"/>
      <c s="251"/>
      <c s="154"/>
      <c s="154"/>
      <c s="154"/>
      <c s="154"/>
      <c s="154"/>
      <c s="154"/>
    </row>
    <row r="180" spans="1:24" ht="18" customHeight="1" thickBot="1">
      <c r="A180" s="4" t="s">
        <v>71</v>
      </c>
      <c s="855">
        <v>16147.139999999999</v>
      </c>
      <c s="855">
        <v>0</v>
      </c>
      <c s="855">
        <v>25721.369999999999</v>
      </c>
      <c s="856"/>
      <c s="856">
        <v>0</v>
      </c>
      <c s="856">
        <v>0</v>
      </c>
      <c s="857">
        <v>0</v>
      </c>
      <c s="857">
        <v>0</v>
      </c>
      <c s="857">
        <v>0</v>
      </c>
      <c s="445">
        <v>762308.43000000005</v>
      </c>
      <c s="171"/>
      <c s="171"/>
      <c s="171"/>
      <c s="171"/>
      <c s="171"/>
      <c s="174"/>
      <c s="251"/>
      <c s="154"/>
      <c s="154"/>
      <c s="154"/>
      <c s="154"/>
      <c s="154"/>
      <c s="154"/>
    </row>
    <row r="181" spans="2:24" ht="12.75">
      <c r="B181" s="114">
        <f>+B174-B180</f>
        <v>0</v>
      </c>
      <c s="114">
        <f t="shared" si="14" ref="C181:J181">+C174-C180</f>
        <v>0</v>
      </c>
      <c s="114">
        <f>+D174-D180</f>
        <v>0</v>
      </c>
      <c s="114">
        <f t="shared" si="14"/>
        <v>0</v>
      </c>
      <c s="114">
        <f t="shared" si="14"/>
        <v>0</v>
      </c>
      <c s="114">
        <f t="shared" si="14"/>
        <v>0</v>
      </c>
      <c s="114">
        <f t="shared" si="14"/>
        <v>0</v>
      </c>
      <c s="114">
        <f t="shared" si="14"/>
        <v>0</v>
      </c>
      <c s="114">
        <f t="shared" si="14"/>
        <v>0</v>
      </c>
      <c s="114">
        <f>+K174-K180</f>
        <v>0</v>
      </c>
      <c s="181"/>
      <c s="181"/>
      <c s="181"/>
      <c s="181"/>
      <c s="181"/>
      <c s="251"/>
      <c s="181"/>
      <c s="154"/>
      <c s="154"/>
      <c s="154"/>
      <c s="154"/>
      <c s="154"/>
      <c s="154"/>
    </row>
    <row r="184" spans="2:6" ht="15.75">
      <c r="B184" s="670"/>
      <c s="639"/>
      <c s="670"/>
      <c s="260"/>
      <c s="666"/>
    </row>
    <row r="185" spans="4:10" ht="15.75">
      <c r="D185" s="667"/>
      <c s="260"/>
      <c s="667"/>
      <c s="644"/>
      <c s="644"/>
      <c s="644"/>
      <c s="644"/>
    </row>
    <row r="186" spans="1:10" ht="23.25">
      <c r="A186" s="307" t="s">
        <v>221</v>
      </c>
      <c s="306">
        <f>B180+D180</f>
        <v>41868.509999999995</v>
      </c>
      <c r="D186" s="667"/>
      <c s="260"/>
      <c s="666"/>
      <c s="646"/>
      <c s="647"/>
      <c s="647"/>
      <c s="647"/>
    </row>
    <row r="187" spans="1:10" ht="15.75">
      <c r="A187" s="307"/>
      <c r="F187" s="645"/>
      <c s="645"/>
      <c s="647"/>
      <c s="647"/>
      <c s="647"/>
    </row>
    <row r="188" spans="1:10" ht="15.75">
      <c r="A188" s="307"/>
      <c s="114"/>
      <c r="F188" s="646"/>
      <c s="646"/>
      <c s="648"/>
      <c s="647"/>
      <c s="647"/>
    </row>
    <row r="189" spans="1:10" ht="15.75">
      <c r="A189" s="307"/>
      <c s="114"/>
      <c s="114"/>
      <c r="F189" s="645"/>
      <c s="646"/>
      <c s="647"/>
      <c s="647"/>
      <c s="647"/>
    </row>
    <row r="190" spans="1:10" ht="23.25">
      <c r="A190" s="307" t="s">
        <v>222</v>
      </c>
      <c s="306">
        <f>B181+C181+D181</f>
        <v>0</v>
      </c>
      <c s="114"/>
      <c r="G190" s="646"/>
      <c s="647"/>
      <c s="647"/>
      <c s="647"/>
    </row>
    <row r="191" spans="8:10" ht="15.75">
      <c r="H191" s="648"/>
      <c s="647"/>
      <c s="647"/>
    </row>
    <row r="192" spans="8:10" ht="15.75">
      <c r="H192" s="647"/>
      <c s="647"/>
      <c s="647"/>
    </row>
    <row r="193" spans="8:10" ht="15.75">
      <c r="H193" s="647"/>
      <c s="647"/>
      <c s="647"/>
    </row>
    <row r="194" spans="9:13" ht="15.75">
      <c r="I194" s="647"/>
      <c s="647"/>
      <c r="L194"/>
      <c/>
    </row>
    <row r="195" spans="7:13" ht="15.75">
      <c r="G195" s="645"/>
      <c s="648"/>
      <c s="647"/>
      <c s="647"/>
      <c r="L195"/>
      <c/>
    </row>
    <row r="196" spans="8:13" ht="15.75">
      <c r="H196" s="647"/>
      <c s="647"/>
      <c s="647"/>
      <c r="L196"/>
      <c/>
    </row>
    <row r="197" spans="8:13" ht="15.75">
      <c r="H197" s="647"/>
      <c s="647"/>
      <c s="647"/>
      <c r="L197"/>
      <c/>
    </row>
    <row r="198" spans="8:13" ht="15.75">
      <c r="H198" s="647"/>
      <c s="647"/>
      <c s="647"/>
      <c r="L198"/>
      <c/>
    </row>
    <row r="199" spans="3:6" ht="14.25">
      <c r="C199" s="712"/>
      <c s="712"/>
      <c s="711"/>
      <c s="56"/>
    </row>
    <row r="200" spans="3:3" ht="14.25">
      <c r="C200" s="712"/>
    </row>
    <row r="201" spans="2:2" ht="14.25">
      <c r="B201" s="712"/>
    </row>
    <row r="204" spans="2:4" ht="12.75">
      <c r="B204" s="56"/>
      <c s="56"/>
      <c s="56"/>
    </row>
  </sheetData>
  <mergeCells count="15">
    <mergeCell ref="A9:A10"/>
    <mergeCell ref="B9:D9"/>
    <mergeCell ref="E9:I9"/>
    <mergeCell ref="J9:J10"/>
    <mergeCell ref="K9:K10"/>
    <mergeCell ref="A1:K1"/>
    <mergeCell ref="A2:K2"/>
    <mergeCell ref="A3:K3"/>
    <mergeCell ref="A4:K4"/>
    <mergeCell ref="A8:K8"/>
    <mergeCell ref="A179:K179"/>
    <mergeCell ref="A63:K63"/>
    <mergeCell ref="A67:K67"/>
    <mergeCell ref="A5:K5"/>
    <mergeCell ref="A6:K6"/>
  </mergeCells>
  <pageMargins left="0.748031496062992" right="0" top="0.984251968503937" bottom="0" header="0" footer="0"/>
  <pageSetup orientation="landscape" paperSize="5" scale="40" r:id="rId2"/>
  <headerFooter alignWithMargins="0"/>
  <rowBreaks count="1" manualBreakCount="1">
    <brk id="66" max="255" man="1"/>
  </rowBreaks>
  <colBreaks count="1" manualBreakCount="1">
    <brk id="12" max="143" man="1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theme="9" tint="-0.499960005283356"/>
  </sheetPr>
  <dimension ref="A1:T57"/>
  <sheetViews>
    <sheetView zoomScale="78" zoomScaleNormal="78" workbookViewId="0" topLeftCell="A1">
      <selection pane="topLeft" activeCell="I26" sqref="I26"/>
    </sheetView>
  </sheetViews>
  <sheetFormatPr defaultRowHeight="12.75"/>
  <cols>
    <col min="1" max="2" width="10.5714285714286" style="154" customWidth="1"/>
    <col min="3" max="3" width="8.14285714285714" style="154" customWidth="1"/>
    <col min="4" max="4" width="18" style="154" customWidth="1"/>
    <col min="5" max="6" width="19.1428571428571" style="154" customWidth="1"/>
    <col min="7" max="7" width="66.4285714285714" style="154" customWidth="1"/>
    <col min="8" max="8" width="21.7142857142857" style="154" customWidth="1"/>
    <col min="9" max="9" width="27.1428571428571" style="154" customWidth="1"/>
    <col min="10" max="10" width="1.14285714285714" style="154" hidden="1" customWidth="1"/>
    <col min="11" max="11" width="31.2857142857143" style="154" customWidth="1"/>
    <col min="12" max="12" width="34.2857142857143" style="154" customWidth="1"/>
    <col min="13" max="13" width="27.1428571428571" style="154" customWidth="1"/>
    <col min="14" max="14" width="22.4285714285714" style="154" customWidth="1"/>
    <col min="15" max="15" width="11.4285714285714" style="154"/>
    <col min="16" max="16" width="68.4285714285714" style="154" customWidth="1"/>
    <col min="17" max="17" width="20.4285714285714" style="154" customWidth="1"/>
    <col min="18" max="18" width="19.4285714285714" style="154" customWidth="1"/>
    <col min="19" max="16384" width="11.4285714285714" style="154"/>
  </cols>
  <sheetData>
    <row r="1" spans="1:14" ht="30">
      <c r="A1" s="595"/>
      <c s="595"/>
      <c s="1385" t="s">
        <v>58</v>
      </c>
      <c s="1385"/>
      <c s="1385"/>
      <c s="1385"/>
      <c s="1385"/>
      <c s="1385"/>
      <c s="1385"/>
      <c s="1385"/>
      <c s="1385"/>
      <c s="585"/>
      <c s="585"/>
      <c s="585"/>
    </row>
    <row r="2" spans="3:14" ht="26.25">
      <c r="C2" s="1386" t="s">
        <v>365</v>
      </c>
      <c s="1386"/>
      <c s="1386"/>
      <c s="1386"/>
      <c s="1386"/>
      <c s="1386"/>
      <c s="1386"/>
      <c s="1386"/>
      <c s="1386"/>
      <c s="585"/>
      <c s="585"/>
      <c s="585"/>
    </row>
    <row r="3" spans="3:14" ht="26.25">
      <c r="C3" s="1373" t="s">
        <v>366</v>
      </c>
      <c s="1373"/>
      <c s="1373"/>
      <c s="1373"/>
      <c s="1373"/>
      <c s="1373"/>
      <c s="1373"/>
      <c s="1373"/>
      <c s="1373"/>
      <c s="585"/>
      <c s="585"/>
      <c s="585"/>
    </row>
    <row r="4" spans="3:14" ht="21.75" customHeight="1">
      <c r="C4" s="1373" t="s">
        <v>367</v>
      </c>
      <c s="1373"/>
      <c s="1373"/>
      <c s="1373"/>
      <c s="1373"/>
      <c s="1373"/>
      <c s="1373"/>
      <c s="1373"/>
      <c s="1373"/>
      <c s="586"/>
      <c s="586"/>
      <c s="586"/>
    </row>
    <row r="5" spans="3:14" ht="21.75" customHeight="1">
      <c r="C5" s="1373" t="str">
        <f>'REGISTRO TRAMITES DEL DIA '!A6</f>
        <v>Del 30 de Noviembre 2024</v>
      </c>
      <c s="1373"/>
      <c s="1373"/>
      <c s="1373"/>
      <c s="1373"/>
      <c s="1373"/>
      <c s="1373"/>
      <c s="1373"/>
      <c s="1373"/>
      <c s="586"/>
      <c s="586"/>
      <c s="586"/>
    </row>
    <row r="6" spans="3:14" ht="23.25">
      <c r="C6" s="1373" t="s">
        <v>358</v>
      </c>
      <c s="1373"/>
      <c s="1373"/>
      <c s="1373"/>
      <c s="1373"/>
      <c s="1373"/>
      <c s="1373"/>
      <c s="1373"/>
      <c s="1373"/>
      <c s="586"/>
      <c s="586"/>
      <c s="586"/>
    </row>
    <row r="7" spans="3:14" ht="24" thickBot="1">
      <c r="C7" s="820"/>
      <c s="820"/>
      <c s="820"/>
      <c s="820"/>
      <c s="820"/>
      <c s="820"/>
      <c s="820"/>
      <c s="820"/>
      <c s="820"/>
      <c s="586"/>
      <c s="586"/>
      <c s="586"/>
    </row>
    <row r="8" spans="3:14" ht="47.25" customHeight="1" thickBot="1">
      <c r="C8" s="1374" t="s">
        <v>38</v>
      </c>
      <c s="1376" t="s">
        <v>368</v>
      </c>
      <c s="1378" t="s">
        <v>369</v>
      </c>
      <c s="1376" t="s">
        <v>361</v>
      </c>
      <c s="1381" t="s">
        <v>360</v>
      </c>
      <c s="1383" t="s">
        <v>370</v>
      </c>
      <c s="821" t="s">
        <v>359</v>
      </c>
      <c s="822"/>
      <c s="823" t="s">
        <v>371</v>
      </c>
      <c s="251"/>
      <c s="251"/>
      <c s="251"/>
    </row>
    <row r="9" spans="3:14" ht="37.5" customHeight="1" thickBot="1">
      <c r="C9" s="1375"/>
      <c s="1377"/>
      <c s="1379"/>
      <c s="1376"/>
      <c s="1382"/>
      <c s="1384"/>
      <c s="781" t="s">
        <v>13</v>
      </c>
      <c s="824"/>
      <c s="825" t="s">
        <v>13</v>
      </c>
      <c s="574"/>
      <c s="574"/>
      <c s="574"/>
    </row>
    <row r="10" spans="3:14" s="177" customFormat="1" ht="24" customHeight="1">
      <c r="C10" s="782" t="s">
        <v>42</v>
      </c>
      <c s="783">
        <f>'OAI '!B10</f>
        <v>85</v>
      </c>
      <c s="783">
        <f>'OAI '!D10</f>
        <v>27</v>
      </c>
      <c s="826">
        <v>6240</v>
      </c>
      <c s="827" t="s">
        <v>0</v>
      </c>
      <c s="828">
        <v>500</v>
      </c>
      <c s="784">
        <f>D10*500</f>
        <v>42500</v>
      </c>
      <c s="829"/>
      <c s="830">
        <f>+E10*500</f>
        <v>13500</v>
      </c>
      <c s="574"/>
      <c s="574"/>
      <c s="574"/>
    </row>
    <row r="11" spans="3:14" s="177" customFormat="1" ht="30" customHeight="1">
      <c r="C11" s="782" t="s">
        <v>43</v>
      </c>
      <c s="783">
        <f>'OAI '!B11</f>
        <v>92</v>
      </c>
      <c s="783">
        <f>'OAI '!D11</f>
        <v>301</v>
      </c>
      <c s="831">
        <v>11240</v>
      </c>
      <c s="785" t="s">
        <v>602</v>
      </c>
      <c s="831">
        <v>500</v>
      </c>
      <c s="784">
        <f>D11*H11</f>
        <v>46000</v>
      </c>
      <c s="829"/>
      <c s="830">
        <f>+E11*500</f>
        <v>150500</v>
      </c>
      <c s="574"/>
      <c s="574"/>
      <c s="574"/>
    </row>
    <row r="12" spans="3:14" s="177" customFormat="1" ht="30" customHeight="1">
      <c r="C12" s="782" t="s">
        <v>45</v>
      </c>
      <c s="783">
        <f>'OAI '!B12</f>
        <v>4950</v>
      </c>
      <c s="783">
        <f>'OAI '!D12</f>
        <v>1503</v>
      </c>
      <c s="831">
        <v>4940</v>
      </c>
      <c s="785" t="s">
        <v>603</v>
      </c>
      <c s="831">
        <v>500</v>
      </c>
      <c s="784">
        <f>+D12*H12</f>
        <v>2475000</v>
      </c>
      <c s="829"/>
      <c s="830">
        <f>+E12*500</f>
        <v>751500</v>
      </c>
      <c s="574"/>
      <c s="574"/>
      <c s="574"/>
    </row>
    <row r="13" spans="3:14" s="177" customFormat="1" ht="54" customHeight="1">
      <c r="C13" s="782" t="s">
        <v>47</v>
      </c>
      <c s="783">
        <f>'OAI '!B13</f>
        <v>0</v>
      </c>
      <c s="783">
        <f>'OAI '!D13</f>
        <v>0</v>
      </c>
      <c s="831">
        <v>4615</v>
      </c>
      <c s="785" t="s">
        <v>604</v>
      </c>
      <c s="831">
        <v>500</v>
      </c>
      <c s="784">
        <f>D13*500</f>
        <v>0</v>
      </c>
      <c s="829"/>
      <c s="830">
        <f>+E13*500</f>
        <v>0</v>
      </c>
      <c s="574"/>
      <c s="574"/>
      <c s="574"/>
    </row>
    <row r="14" spans="3:14" s="177" customFormat="1" ht="42.75" customHeight="1">
      <c r="C14" s="782" t="s">
        <v>49</v>
      </c>
      <c s="783">
        <f>'OAI '!B14</f>
        <v>0</v>
      </c>
      <c s="783">
        <f>'OAI '!D14</f>
        <v>1</v>
      </c>
      <c s="831">
        <v>2840</v>
      </c>
      <c s="785" t="s">
        <v>605</v>
      </c>
      <c s="831">
        <v>500</v>
      </c>
      <c s="784">
        <f>D14*500</f>
        <v>0</v>
      </c>
      <c s="829"/>
      <c s="830">
        <f>+E14*500</f>
        <v>500</v>
      </c>
      <c s="574"/>
      <c s="574"/>
      <c s="574"/>
    </row>
    <row r="15" spans="3:14" s="177" customFormat="1" ht="30" customHeight="1">
      <c r="C15" s="782" t="s">
        <v>51</v>
      </c>
      <c s="783">
        <f>'OAI '!B15</f>
        <v>30</v>
      </c>
      <c s="783">
        <f>'OAI '!D15</f>
        <v>0</v>
      </c>
      <c s="831">
        <v>500</v>
      </c>
      <c s="785" t="s">
        <v>1</v>
      </c>
      <c s="832" t="s">
        <v>372</v>
      </c>
      <c s="784">
        <v>0</v>
      </c>
      <c s="829"/>
      <c s="830">
        <v>0</v>
      </c>
      <c s="574"/>
      <c s="574"/>
      <c s="574"/>
    </row>
    <row r="16" spans="3:14" s="177" customFormat="1" ht="39" customHeight="1">
      <c r="C16" s="782" t="s">
        <v>52</v>
      </c>
      <c s="783">
        <f>'OAI '!B16</f>
        <v>0</v>
      </c>
      <c s="783">
        <f>'OAI '!D16</f>
        <v>0</v>
      </c>
      <c s="831">
        <v>2840</v>
      </c>
      <c s="785" t="s">
        <v>606</v>
      </c>
      <c s="831">
        <v>500</v>
      </c>
      <c s="784">
        <f>D16*500</f>
        <v>0</v>
      </c>
      <c s="829"/>
      <c s="830">
        <f>+E16*500</f>
        <v>0</v>
      </c>
      <c s="574"/>
      <c s="574"/>
      <c s="574"/>
    </row>
    <row r="17" spans="3:14" s="177" customFormat="1" ht="30" customHeight="1">
      <c r="C17" s="782" t="s">
        <v>54</v>
      </c>
      <c s="783">
        <f>'OAI '!B17</f>
        <v>77</v>
      </c>
      <c s="783">
        <f>'OAI '!D17</f>
        <v>30</v>
      </c>
      <c s="831">
        <v>700</v>
      </c>
      <c s="785" t="s">
        <v>3</v>
      </c>
      <c s="832" t="s">
        <v>372</v>
      </c>
      <c s="784">
        <v>0</v>
      </c>
      <c s="829"/>
      <c s="830">
        <v>0</v>
      </c>
      <c s="574"/>
      <c s="574"/>
      <c s="574"/>
    </row>
    <row r="18" spans="3:14" s="177" customFormat="1" ht="30" customHeight="1">
      <c r="C18" s="782" t="s">
        <v>55</v>
      </c>
      <c s="783">
        <f>'OAI '!B18</f>
        <v>4514</v>
      </c>
      <c s="783">
        <f>'OAI '!D18</f>
        <v>1113</v>
      </c>
      <c s="831">
        <v>700</v>
      </c>
      <c s="786" t="s">
        <v>138</v>
      </c>
      <c s="832" t="s">
        <v>372</v>
      </c>
      <c s="784">
        <v>0</v>
      </c>
      <c s="829"/>
      <c s="830">
        <v>0</v>
      </c>
      <c s="575"/>
      <c s="575"/>
      <c s="575"/>
    </row>
    <row r="19" spans="3:14" s="1" customFormat="1" ht="30" customHeight="1">
      <c r="C19" s="782" t="s">
        <v>133</v>
      </c>
      <c s="783">
        <f>'OAI '!B19</f>
        <v>3</v>
      </c>
      <c s="783">
        <f>'OAI '!D19</f>
        <v>0</v>
      </c>
      <c s="833">
        <v>4615</v>
      </c>
      <c s="786" t="s">
        <v>139</v>
      </c>
      <c s="833">
        <v>500</v>
      </c>
      <c s="784">
        <f>D19*500</f>
        <v>1500</v>
      </c>
      <c s="829"/>
      <c s="830">
        <f>+E19*500</f>
        <v>0</v>
      </c>
      <c s="575"/>
      <c s="575"/>
      <c s="575"/>
    </row>
    <row r="20" spans="3:14" s="1" customFormat="1" ht="30" customHeight="1">
      <c r="C20" s="782" t="s">
        <v>134</v>
      </c>
      <c s="783">
        <f>'OAI '!B20</f>
        <v>53</v>
      </c>
      <c s="783">
        <f>'OAI '!D20</f>
        <v>57</v>
      </c>
      <c s="833">
        <v>4615</v>
      </c>
      <c s="786" t="s">
        <v>140</v>
      </c>
      <c s="833">
        <v>500</v>
      </c>
      <c s="784">
        <f>D20*500</f>
        <v>26500</v>
      </c>
      <c s="829"/>
      <c s="830">
        <f>+E20*500</f>
        <v>28500</v>
      </c>
      <c s="575"/>
      <c s="575"/>
      <c s="575"/>
    </row>
    <row r="21" spans="3:14" s="1" customFormat="1" ht="30" customHeight="1">
      <c r="C21" s="782" t="s">
        <v>135</v>
      </c>
      <c s="783">
        <f>'OAI '!B21</f>
        <v>153</v>
      </c>
      <c s="783">
        <f>'OAI '!D21</f>
        <v>0</v>
      </c>
      <c s="833">
        <v>4615</v>
      </c>
      <c s="786" t="s">
        <v>141</v>
      </c>
      <c s="833">
        <v>500</v>
      </c>
      <c s="784">
        <f>D21*H21</f>
        <v>76500</v>
      </c>
      <c s="829"/>
      <c s="830">
        <v>0</v>
      </c>
      <c s="575"/>
      <c s="575"/>
      <c s="575"/>
    </row>
    <row r="22" spans="3:14" s="1" customFormat="1" ht="30" customHeight="1">
      <c r="C22" s="782" t="s">
        <v>136</v>
      </c>
      <c s="783">
        <f>'OAI '!B22</f>
        <v>203</v>
      </c>
      <c s="783">
        <f>'OAI '!D22</f>
        <v>57</v>
      </c>
      <c s="833">
        <v>700</v>
      </c>
      <c s="786" t="s">
        <v>142</v>
      </c>
      <c s="834" t="s">
        <v>372</v>
      </c>
      <c s="784">
        <v>0</v>
      </c>
      <c s="829"/>
      <c s="830">
        <v>0</v>
      </c>
      <c s="575"/>
      <c s="575"/>
      <c s="575"/>
    </row>
    <row r="23" spans="3:14" s="1" customFormat="1" ht="30" customHeight="1">
      <c r="C23" s="782" t="s">
        <v>137</v>
      </c>
      <c s="783">
        <f>'OAI '!B23</f>
        <v>0</v>
      </c>
      <c s="783">
        <f>'OAI '!D23</f>
        <v>0</v>
      </c>
      <c s="833">
        <v>6240</v>
      </c>
      <c s="786" t="s">
        <v>143</v>
      </c>
      <c s="834">
        <v>500</v>
      </c>
      <c s="784">
        <f>D23*500</f>
        <v>0</v>
      </c>
      <c s="829"/>
      <c s="830">
        <v>0</v>
      </c>
      <c s="575"/>
      <c s="575"/>
      <c s="575"/>
    </row>
    <row r="24" spans="3:20" ht="46.5" customHeight="1" thickBot="1">
      <c r="C24" s="788" t="s">
        <v>246</v>
      </c>
      <c s="789">
        <f>SUM(D10:D23)</f>
        <v>10160</v>
      </c>
      <c s="789">
        <f>SUM(E10:E23)</f>
        <v>3089</v>
      </c>
      <c s="789"/>
      <c s="1372" t="s">
        <v>362</v>
      </c>
      <c s="1372"/>
      <c s="835">
        <f>SUM(I10:I23)</f>
        <v>2668000</v>
      </c>
      <c s="790"/>
      <c s="835">
        <f>SUM(K10:K23)</f>
        <v>944500</v>
      </c>
      <c s="251"/>
      <c s="251"/>
      <c s="251">
        <v>0</v>
      </c>
      <c s="251"/>
      <c s="251"/>
      <c s="251"/>
      <c s="251"/>
      <c s="251"/>
      <c s="251"/>
    </row>
    <row r="25" spans="3:20" ht="46.5" customHeight="1" thickTop="1">
      <c r="C25" s="195"/>
      <c s="286"/>
      <c s="286"/>
      <c s="286"/>
      <c s="364"/>
      <c s="364"/>
      <c s="600"/>
      <c s="600"/>
      <c s="600"/>
      <c s="251"/>
      <c s="251"/>
      <c s="251"/>
      <c s="251"/>
      <c s="251"/>
      <c s="251"/>
      <c s="251"/>
      <c s="251"/>
      <c s="251"/>
    </row>
    <row r="26" spans="3:20" ht="46.5" customHeight="1">
      <c r="C26" s="195"/>
      <c s="286"/>
      <c s="286"/>
      <c s="286"/>
      <c s="364"/>
      <c s="364"/>
      <c s="600"/>
      <c s="600"/>
      <c s="600"/>
      <c s="251"/>
      <c s="251"/>
      <c s="251"/>
      <c s="251"/>
      <c s="251"/>
      <c s="251"/>
      <c s="251"/>
      <c s="251"/>
      <c s="251"/>
    </row>
    <row r="27" spans="3:20" ht="46.5" customHeight="1">
      <c r="C27" s="195"/>
      <c s="286"/>
      <c s="286"/>
      <c s="286"/>
      <c s="364"/>
      <c s="364"/>
      <c s="600"/>
      <c s="600"/>
      <c s="600"/>
      <c s="251"/>
      <c s="251"/>
      <c s="251"/>
      <c s="251"/>
      <c s="251"/>
      <c s="251"/>
      <c s="251"/>
      <c s="251"/>
      <c s="251"/>
    </row>
    <row r="28" spans="7:17" ht="36" customHeight="1">
      <c r="G28" s="149"/>
      <c s="149"/>
      <c s="304"/>
      <c s="304"/>
      <c r="L28" s="576"/>
      <c s="577"/>
      <c s="578"/>
      <c r="Q28" s="483" t="e">
        <f>SUM(#REF!)</f>
        <v>#REF!</v>
      </c>
    </row>
    <row r="29" spans="3:15" s="1" customFormat="1" ht="20.25" customHeight="1">
      <c r="C29" s="1124"/>
      <c s="1125"/>
      <c s="1126" t="s">
        <v>413</v>
      </c>
      <c s="1126"/>
      <c s="1127"/>
      <c s="1380" t="s">
        <v>457</v>
      </c>
      <c s="1380"/>
      <c s="1380"/>
      <c s="1380"/>
      <c s="579"/>
      <c s="251"/>
      <c s="580"/>
      <c s="431"/>
    </row>
    <row r="30" spans="3:15" s="0" customFormat="1" ht="20.25">
      <c r="C30" s="1128"/>
      <c s="1129"/>
      <c s="1130" t="s">
        <v>330</v>
      </c>
      <c s="1130"/>
      <c s="1131"/>
      <c s="1370" t="s">
        <v>363</v>
      </c>
      <c s="1370"/>
      <c s="1370"/>
      <c s="1370"/>
      <c s="581"/>
      <c s="582"/>
      <c s="583"/>
      <c s="432"/>
    </row>
    <row r="31" spans="3:15" s="53" customFormat="1" ht="20.25">
      <c r="C31" s="1132"/>
      <c s="1133"/>
      <c s="1133"/>
      <c s="1133"/>
      <c s="1130"/>
      <c s="1371" t="s">
        <v>373</v>
      </c>
      <c s="1371"/>
      <c s="1371"/>
      <c s="1371"/>
      <c s="251"/>
      <c s="251"/>
      <c s="251"/>
      <c s="433"/>
    </row>
    <row r="32" spans="3:14" ht="20.25">
      <c r="C32" s="1134"/>
      <c s="1131"/>
      <c s="1131"/>
      <c s="1131"/>
      <c s="1131"/>
      <c s="1131"/>
      <c s="1131"/>
      <c s="1131"/>
      <c s="1131"/>
      <c s="251"/>
      <c s="251"/>
      <c s="251"/>
    </row>
    <row r="33" spans="3:14" ht="12.75">
      <c r="C33" s="1134"/>
      <c s="1134"/>
      <c s="1134"/>
      <c s="1134"/>
      <c s="1134"/>
      <c s="1134"/>
      <c s="1134"/>
      <c s="1134"/>
      <c s="1134"/>
      <c s="251"/>
      <c s="251"/>
      <c s="251"/>
    </row>
    <row r="34" spans="12:14" ht="12.75">
      <c r="L34" s="251"/>
      <c s="251"/>
      <c s="251"/>
    </row>
    <row r="35" spans="12:14" ht="12.75">
      <c r="L35" s="251"/>
      <c s="251"/>
      <c s="251"/>
    </row>
    <row r="36" spans="12:14" ht="12.75">
      <c r="L36" s="251"/>
      <c s="251"/>
      <c s="251"/>
    </row>
    <row r="37" spans="12:14" ht="12.75">
      <c r="L37" s="251"/>
      <c s="251"/>
      <c s="251"/>
    </row>
    <row r="38" spans="12:14" ht="12.75">
      <c r="L38" s="251"/>
      <c s="251"/>
      <c s="251"/>
    </row>
    <row r="39" spans="12:14" ht="12.75">
      <c r="L39" s="251"/>
      <c s="251"/>
      <c s="251"/>
    </row>
    <row r="40" spans="12:14" ht="12.75">
      <c r="L40" s="251"/>
      <c s="251"/>
      <c s="251"/>
    </row>
    <row r="41" spans="12:14" ht="12.75">
      <c r="L41" s="251"/>
      <c s="251"/>
      <c s="251"/>
    </row>
    <row r="42" spans="12:14" ht="12.75">
      <c r="L42" s="251"/>
      <c s="251"/>
      <c s="251"/>
    </row>
    <row r="43" spans="12:14" ht="12.75">
      <c r="L43" s="251"/>
      <c s="251"/>
      <c s="251"/>
    </row>
    <row r="44" spans="12:14" ht="12.75">
      <c r="L44" s="251"/>
      <c s="251"/>
      <c s="251"/>
    </row>
    <row r="45" spans="12:14" ht="12.75">
      <c r="L45" s="251"/>
      <c s="251"/>
      <c s="251"/>
    </row>
    <row r="46" spans="12:14" ht="12.75">
      <c r="L46" s="251"/>
      <c s="251"/>
      <c s="251"/>
    </row>
    <row r="47" spans="12:14" ht="12.75">
      <c r="L47" s="251"/>
      <c s="251"/>
      <c s="251"/>
    </row>
    <row r="48" spans="12:14" ht="12.75">
      <c r="L48" s="251"/>
      <c s="251"/>
      <c s="251"/>
    </row>
    <row r="49" spans="12:14" ht="12.75">
      <c r="L49" s="251"/>
      <c s="251"/>
      <c s="251"/>
    </row>
    <row r="50" spans="12:14" ht="12.75">
      <c r="L50" s="251"/>
      <c s="251"/>
      <c s="251"/>
    </row>
    <row r="51" spans="12:14" ht="12.75">
      <c r="L51" s="251"/>
      <c s="251"/>
      <c s="251"/>
    </row>
    <row r="52" spans="12:14" ht="12.75">
      <c r="L52" s="251"/>
      <c s="251"/>
      <c s="251"/>
    </row>
    <row r="53" spans="12:14" ht="12.75">
      <c r="L53" s="251"/>
      <c s="251"/>
      <c s="251"/>
    </row>
    <row r="54" spans="12:14" ht="12.75">
      <c r="L54" s="251"/>
      <c s="251"/>
      <c s="251"/>
    </row>
    <row r="55" spans="12:14" ht="12.75">
      <c r="L55" s="251"/>
      <c s="251"/>
      <c s="251"/>
    </row>
    <row r="56" spans="12:14" ht="12.75">
      <c r="L56" s="251"/>
      <c s="251"/>
      <c s="251"/>
    </row>
    <row r="57" spans="12:14" ht="12.75">
      <c r="L57" s="251"/>
      <c s="251"/>
      <c s="251"/>
    </row>
  </sheetData>
  <mergeCells count="16">
    <mergeCell ref="H8:H9"/>
    <mergeCell ref="C1:K1"/>
    <mergeCell ref="C2:K2"/>
    <mergeCell ref="C3:K3"/>
    <mergeCell ref="C4:K4"/>
    <mergeCell ref="C5:K5"/>
    <mergeCell ref="H30:K30"/>
    <mergeCell ref="H31:K31"/>
    <mergeCell ref="G24:H24"/>
    <mergeCell ref="C6:K6"/>
    <mergeCell ref="C8:C9"/>
    <mergeCell ref="D8:D9"/>
    <mergeCell ref="E8:E9"/>
    <mergeCell ref="H29:K29"/>
    <mergeCell ref="F8:F9"/>
    <mergeCell ref="G8:G9"/>
  </mergeCells>
  <pageMargins left="0.669291338582677" right="0" top="0.236220472440945" bottom="0" header="0" footer="0"/>
  <pageSetup orientation="landscape" paperSize="1" scale="5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4">
    <tabColor indexed="10"/>
  </sheetPr>
  <dimension ref="A1:AD96"/>
  <sheetViews>
    <sheetView tabSelected="1" zoomScale="68" zoomScaleNormal="68" workbookViewId="0" topLeftCell="A34">
      <selection pane="topLeft" activeCell="A6" sqref="A6:T6"/>
    </sheetView>
  </sheetViews>
  <sheetFormatPr defaultRowHeight="12.75"/>
  <cols>
    <col min="1" max="1" width="8.14285714285714" style="869" customWidth="1"/>
    <col min="2" max="2" width="13.5714285714286" style="869" customWidth="1"/>
    <col min="3" max="3" width="12.8571428571429" style="869" customWidth="1"/>
    <col min="4" max="4" width="13.1428571428571" style="869" customWidth="1"/>
    <col min="5" max="5" width="73.1428571428571" style="869" customWidth="1"/>
    <col min="6" max="6" width="16.4285714285714" style="869" customWidth="1"/>
    <col min="7" max="7" width="23.4285714285714" style="869" customWidth="1"/>
    <col min="8" max="8" width="0.571428571428571" style="869" hidden="1" customWidth="1"/>
    <col min="9" max="9" width="30" style="869" customWidth="1"/>
    <col min="10" max="10" width="19.5714285714286" style="869" customWidth="1"/>
    <col min="11" max="11" width="36" style="869" customWidth="1"/>
    <col min="12" max="12" width="0.571428571428571" style="869" customWidth="1"/>
    <col min="13" max="13" width="31.2857142857143" style="869" customWidth="1"/>
    <col min="14" max="14" width="0.857142857142857" style="869" customWidth="1"/>
    <col min="15" max="15" width="40.2857142857143" style="869" customWidth="1"/>
    <col min="16" max="16" width="31.5714285714286" style="869" customWidth="1"/>
    <col min="17" max="17" width="34.2857142857143" style="869" customWidth="1"/>
    <col min="18" max="18" width="27.1428571428571" style="869" customWidth="1"/>
    <col min="19" max="19" width="22.4285714285714" style="869" customWidth="1"/>
    <col min="20" max="20" width="36.4285714285714" style="869" customWidth="1"/>
    <col min="21" max="21" width="26.1428571428571" style="869" customWidth="1"/>
    <col min="22" max="22" width="68.4285714285714" style="869" customWidth="1"/>
    <col min="23" max="23" width="0.428571428571429" style="869" customWidth="1"/>
    <col min="24" max="24" width="19.4285714285714" style="869" customWidth="1"/>
    <col min="25" max="16384" width="11.4285714285714" style="869"/>
  </cols>
  <sheetData>
    <row r="1" spans="1:20" ht="54" customHeight="1">
      <c r="A1" s="868" t="s">
        <v>60</v>
      </c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</row>
    <row r="2" spans="1:20" ht="30">
      <c r="A2" s="1405" t="s">
        <v>58</v>
      </c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</row>
    <row r="3" spans="1:20" ht="26.25">
      <c r="A3" s="1400" t="s">
        <v>374</v>
      </c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</row>
    <row r="4" spans="1:20" ht="26.25">
      <c r="A4" s="1400" t="s">
        <v>365</v>
      </c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</row>
    <row r="5" spans="1:20" ht="20.25">
      <c r="A5" s="1406" t="str">
        <f>+'[4]INGRESO DEL DIA'!$A$5:$T$5</f>
        <v>Reportes de los Ingresos según Ley No. 36 y Resolución No. 02-05; 02-06 de los Cobros BanReservas , Caja General y SIRITE al 31/03/2025</v>
      </c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</row>
    <row r="6" spans="1:20" ht="20.25">
      <c r="A6" s="1406" t="s">
        <v>375</v>
      </c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</row>
    <row r="7" spans="1:19" ht="17.25" customHeight="1" thickBot="1">
      <c r="A7" s="1390"/>
      <c s="1390"/>
      <c s="1390"/>
      <c s="1390"/>
      <c s="1390"/>
      <c s="1390"/>
      <c s="1390"/>
      <c s="1390"/>
      <c s="1390"/>
      <c s="1390"/>
      <c s="1390"/>
      <c s="1390"/>
      <c s="1390"/>
      <c r="P7" s="1389"/>
      <c s="1389"/>
      <c s="1389"/>
      <c s="1389"/>
    </row>
    <row r="8" spans="1:20" ht="62.25" customHeight="1" thickBot="1">
      <c r="A8" s="1407" t="s">
        <v>38</v>
      </c>
      <c s="1393" t="s">
        <v>277</v>
      </c>
      <c s="1391" t="s">
        <v>276</v>
      </c>
      <c s="1391" t="s">
        <v>307</v>
      </c>
      <c s="877"/>
      <c s="877"/>
      <c s="878"/>
      <c s="880"/>
      <c s="1397" t="s">
        <v>168</v>
      </c>
      <c s="1398"/>
      <c s="1399"/>
      <c s="881"/>
      <c s="882" t="s">
        <v>282</v>
      </c>
      <c s="883"/>
      <c s="884" t="s">
        <v>309</v>
      </c>
      <c s="1397" t="s">
        <v>308</v>
      </c>
      <c s="1398"/>
      <c s="1398"/>
      <c s="1409"/>
      <c s="1403" t="s">
        <v>160</v>
      </c>
    </row>
    <row r="9" spans="1:20" ht="71.25" customHeight="1" thickBot="1">
      <c r="A9" s="1408"/>
      <c s="1394"/>
      <c s="1392"/>
      <c s="1392"/>
      <c s="885" t="s">
        <v>40</v>
      </c>
      <c s="1071" t="s">
        <v>157</v>
      </c>
      <c s="887" t="s">
        <v>186</v>
      </c>
      <c s="888"/>
      <c s="1099" t="s">
        <v>278</v>
      </c>
      <c s="1099" t="s">
        <v>279</v>
      </c>
      <c s="1099" t="s">
        <v>280</v>
      </c>
      <c s="889"/>
      <c s="1099" t="s">
        <v>281</v>
      </c>
      <c s="889"/>
      <c s="1099" t="s">
        <v>172</v>
      </c>
      <c s="1099" t="s">
        <v>281</v>
      </c>
      <c s="1099" t="s">
        <v>278</v>
      </c>
      <c s="1099" t="s">
        <v>279</v>
      </c>
      <c s="890" t="s">
        <v>247</v>
      </c>
      <c s="1404"/>
    </row>
    <row r="10" spans="1:21" s="871" customFormat="1" ht="30" customHeight="1" thickBot="1">
      <c r="A10" s="891" t="s">
        <v>42</v>
      </c>
      <c s="892">
        <v>85</v>
      </c>
      <c s="892">
        <v>0</v>
      </c>
      <c s="892">
        <v>27</v>
      </c>
      <c s="893" t="s">
        <v>0</v>
      </c>
      <c s="1072">
        <v>6240</v>
      </c>
      <c s="1073">
        <f>B10*F10</f>
        <v>530400</v>
      </c>
      <c s="896"/>
      <c s="897">
        <f>B10*2200</f>
        <v>187000</v>
      </c>
      <c s="897">
        <f>B10*800</f>
        <v>68000</v>
      </c>
      <c s="897">
        <f>G10-I10-J10</f>
        <v>275400</v>
      </c>
      <c s="896"/>
      <c s="897"/>
      <c s="896"/>
      <c s="898">
        <f>D10*F10</f>
        <v>168480</v>
      </c>
      <c s="899">
        <f t="shared" si="0" ref="P10:P16">O10-Q10-R10-S10</f>
        <v>83268</v>
      </c>
      <c s="897">
        <f>D10*2200</f>
        <v>59400</v>
      </c>
      <c s="897">
        <f>D10*800</f>
        <v>21600</v>
      </c>
      <c s="900">
        <f>+O10*2.5%</f>
        <v>4212</v>
      </c>
      <c s="901">
        <f>+P10+K10+M10</f>
        <v>358668</v>
      </c>
      <c s="1029"/>
    </row>
    <row r="11" spans="1:21" s="871" customFormat="1" ht="30" customHeight="1" thickBot="1">
      <c r="A11" s="891" t="s">
        <v>43</v>
      </c>
      <c s="892">
        <v>92</v>
      </c>
      <c s="892">
        <v>0</v>
      </c>
      <c s="892">
        <v>301</v>
      </c>
      <c s="902" t="s">
        <v>613</v>
      </c>
      <c s="1072">
        <v>11240</v>
      </c>
      <c s="1074">
        <f>B11*F11</f>
        <v>1034080</v>
      </c>
      <c s="896"/>
      <c s="897">
        <f>B11*2200</f>
        <v>202400</v>
      </c>
      <c s="897">
        <f>B11*800</f>
        <v>73600</v>
      </c>
      <c s="897">
        <f>G11-I11-J11</f>
        <v>758080</v>
      </c>
      <c s="896"/>
      <c s="897"/>
      <c s="896"/>
      <c s="898">
        <f t="shared" si="1" ref="O11:O47">D11*F11</f>
        <v>3383240</v>
      </c>
      <c s="899">
        <f t="shared" si="0"/>
        <v>2395659</v>
      </c>
      <c s="897">
        <f>D11*2200</f>
        <v>662200</v>
      </c>
      <c s="897">
        <f>D11*800</f>
        <v>240800</v>
      </c>
      <c s="900">
        <f t="shared" si="2" ref="S11:S46">+O11*2.5%</f>
        <v>84581</v>
      </c>
      <c s="901">
        <f t="shared" si="3" ref="T11:T47">+P11+K11+M11</f>
        <v>3153739</v>
      </c>
      <c s="1029"/>
    </row>
    <row r="12" spans="1:20" s="871" customFormat="1" ht="30" customHeight="1" thickBot="1">
      <c r="A12" s="891" t="s">
        <v>45</v>
      </c>
      <c s="892">
        <v>4950</v>
      </c>
      <c s="892">
        <v>0</v>
      </c>
      <c s="892">
        <v>1503</v>
      </c>
      <c s="902" t="s">
        <v>614</v>
      </c>
      <c s="1072">
        <v>4940</v>
      </c>
      <c s="1074">
        <f>B12*F12</f>
        <v>24453000</v>
      </c>
      <c s="896"/>
      <c s="897">
        <f>B12*2200</f>
        <v>10890000</v>
      </c>
      <c s="897"/>
      <c s="897">
        <f>G12-I12-J12</f>
        <v>13563000</v>
      </c>
      <c s="896"/>
      <c s="897"/>
      <c s="896"/>
      <c s="898">
        <f t="shared" si="1"/>
        <v>7424820</v>
      </c>
      <c s="899">
        <f t="shared" si="0"/>
        <v>3932599.5</v>
      </c>
      <c s="897">
        <f>D12*2200</f>
        <v>3306600</v>
      </c>
      <c s="897"/>
      <c s="900">
        <f t="shared" si="2"/>
        <v>185620.5</v>
      </c>
      <c s="901">
        <f t="shared" si="3"/>
        <v>17495599.5</v>
      </c>
    </row>
    <row r="13" spans="1:20" s="871" customFormat="1" ht="55.5" customHeight="1" thickBot="1">
      <c r="A13" s="891" t="s">
        <v>47</v>
      </c>
      <c s="892">
        <f>+'[3]INGRESO DEL DIA'!$B$13</f>
        <v>0</v>
      </c>
      <c s="892">
        <v>0</v>
      </c>
      <c s="892">
        <f>'REGISTRO TRAMITES DEL DIA '!E30</f>
        <v>0</v>
      </c>
      <c s="902" t="s">
        <v>615</v>
      </c>
      <c s="1072">
        <v>4615</v>
      </c>
      <c s="1074">
        <f t="shared" si="4" ref="G13:G31">B13*F13</f>
        <v>0</v>
      </c>
      <c s="896"/>
      <c s="897">
        <f>B13*2075</f>
        <v>0</v>
      </c>
      <c s="897">
        <f>B13*800</f>
        <v>0</v>
      </c>
      <c s="897">
        <f t="shared" si="5" ref="K13:K32">G13-I13-J13</f>
        <v>0</v>
      </c>
      <c s="896"/>
      <c s="897"/>
      <c s="896"/>
      <c s="898">
        <f t="shared" si="1"/>
        <v>0</v>
      </c>
      <c s="899">
        <f t="shared" si="0"/>
        <v>0</v>
      </c>
      <c s="897">
        <f>+D13*2075</f>
        <v>0</v>
      </c>
      <c s="897"/>
      <c s="900">
        <f t="shared" si="2"/>
        <v>0</v>
      </c>
      <c s="901">
        <f t="shared" si="3"/>
        <v>0</v>
      </c>
    </row>
    <row r="14" spans="1:20" s="871" customFormat="1" ht="42.75" customHeight="1" thickBot="1">
      <c r="A14" s="891" t="s">
        <v>49</v>
      </c>
      <c s="892">
        <v>0</v>
      </c>
      <c s="892">
        <v>0</v>
      </c>
      <c s="892">
        <v>1</v>
      </c>
      <c s="902" t="s">
        <v>616</v>
      </c>
      <c s="1072">
        <v>2840</v>
      </c>
      <c s="1074">
        <f t="shared" si="4"/>
        <v>0</v>
      </c>
      <c s="896"/>
      <c s="897"/>
      <c s="897">
        <f>B14*800</f>
        <v>0</v>
      </c>
      <c s="897">
        <f t="shared" si="5"/>
        <v>0</v>
      </c>
      <c s="896"/>
      <c s="897"/>
      <c s="896"/>
      <c s="898">
        <f t="shared" si="1"/>
        <v>2840</v>
      </c>
      <c s="899">
        <f t="shared" si="0"/>
        <v>2769</v>
      </c>
      <c s="897"/>
      <c s="904"/>
      <c s="900">
        <f t="shared" si="2"/>
        <v>71</v>
      </c>
      <c s="901">
        <f t="shared" si="3"/>
        <v>2769</v>
      </c>
    </row>
    <row r="15" spans="1:20" s="871" customFormat="1" ht="30" customHeight="1" thickBot="1">
      <c r="A15" s="891" t="s">
        <v>51</v>
      </c>
      <c s="892">
        <v>30</v>
      </c>
      <c s="892">
        <v>0</v>
      </c>
      <c s="892">
        <v>0</v>
      </c>
      <c s="902" t="s">
        <v>1</v>
      </c>
      <c s="1072">
        <v>500</v>
      </c>
      <c s="1074">
        <f t="shared" si="4"/>
        <v>15000</v>
      </c>
      <c s="896"/>
      <c s="897"/>
      <c s="897"/>
      <c s="897">
        <f t="shared" si="5"/>
        <v>15000</v>
      </c>
      <c s="896"/>
      <c s="905"/>
      <c s="906"/>
      <c s="898">
        <f t="shared" si="1"/>
        <v>0</v>
      </c>
      <c s="899">
        <f t="shared" si="0"/>
        <v>0</v>
      </c>
      <c s="897"/>
      <c s="897"/>
      <c s="900">
        <f t="shared" si="2"/>
        <v>0</v>
      </c>
      <c s="901">
        <f t="shared" si="3"/>
        <v>15000</v>
      </c>
    </row>
    <row r="16" spans="1:20" s="871" customFormat="1" ht="39" customHeight="1" thickBot="1">
      <c r="A16" s="891" t="s">
        <v>52</v>
      </c>
      <c s="892">
        <f>+'[3]INGRESO DEL DIA'!$B$13</f>
        <v>0</v>
      </c>
      <c s="892">
        <v>0</v>
      </c>
      <c s="892">
        <f>'REGISTRO TRAMITES DEL DIA '!F30</f>
        <v>0</v>
      </c>
      <c s="902" t="s">
        <v>617</v>
      </c>
      <c s="1072">
        <v>2840</v>
      </c>
      <c s="1074">
        <f t="shared" si="4"/>
        <v>0</v>
      </c>
      <c s="896"/>
      <c s="897"/>
      <c s="897"/>
      <c s="897">
        <f t="shared" si="5"/>
        <v>0</v>
      </c>
      <c s="896"/>
      <c s="905"/>
      <c s="906"/>
      <c s="898">
        <f t="shared" si="1"/>
        <v>0</v>
      </c>
      <c s="899">
        <f t="shared" si="0"/>
        <v>0</v>
      </c>
      <c s="897"/>
      <c s="897"/>
      <c s="900">
        <f t="shared" si="2"/>
        <v>0</v>
      </c>
      <c s="901">
        <f t="shared" si="3"/>
        <v>0</v>
      </c>
    </row>
    <row r="17" spans="1:20" s="871" customFormat="1" ht="30" customHeight="1" thickBot="1">
      <c r="A17" s="891" t="s">
        <v>54</v>
      </c>
      <c s="892">
        <v>77</v>
      </c>
      <c s="892">
        <v>0</v>
      </c>
      <c s="892">
        <v>30</v>
      </c>
      <c s="902" t="s">
        <v>3</v>
      </c>
      <c s="1072">
        <v>700</v>
      </c>
      <c s="1074">
        <f t="shared" si="4"/>
        <v>53900</v>
      </c>
      <c s="896"/>
      <c s="897"/>
      <c s="897"/>
      <c s="897">
        <f t="shared" si="5"/>
        <v>53900</v>
      </c>
      <c s="896"/>
      <c s="905"/>
      <c s="906"/>
      <c s="898">
        <f t="shared" si="1"/>
        <v>21000</v>
      </c>
      <c s="899">
        <f t="shared" si="6" ref="P17:P46">O17-Q17-R17-S17</f>
        <v>20475</v>
      </c>
      <c s="897"/>
      <c s="897"/>
      <c s="900">
        <f t="shared" si="2"/>
        <v>525</v>
      </c>
      <c s="901">
        <f t="shared" si="3"/>
        <v>74375</v>
      </c>
    </row>
    <row r="18" spans="1:20" s="871" customFormat="1" ht="30" customHeight="1" thickBot="1">
      <c r="A18" s="891" t="s">
        <v>55</v>
      </c>
      <c s="892">
        <v>4514</v>
      </c>
      <c s="892">
        <v>0</v>
      </c>
      <c s="892">
        <v>1113</v>
      </c>
      <c s="907" t="s">
        <v>138</v>
      </c>
      <c s="1072">
        <v>700</v>
      </c>
      <c s="1074">
        <f t="shared" si="4"/>
        <v>3159800</v>
      </c>
      <c s="896"/>
      <c s="897"/>
      <c s="897"/>
      <c s="897">
        <f t="shared" si="5"/>
        <v>3159800</v>
      </c>
      <c s="896"/>
      <c s="905"/>
      <c s="906"/>
      <c s="898">
        <f t="shared" si="1"/>
        <v>779100</v>
      </c>
      <c s="899">
        <f t="shared" si="6"/>
        <v>759622.5</v>
      </c>
      <c s="897"/>
      <c s="897"/>
      <c s="900">
        <f t="shared" si="2"/>
        <v>19477.5</v>
      </c>
      <c s="901">
        <f t="shared" si="3"/>
        <v>3919422.5</v>
      </c>
    </row>
    <row r="19" spans="1:20" s="910" customFormat="1" ht="30" customHeight="1" thickBot="1">
      <c r="A19" s="891" t="s">
        <v>133</v>
      </c>
      <c s="892">
        <v>3</v>
      </c>
      <c s="892">
        <v>0</v>
      </c>
      <c s="892">
        <v>0</v>
      </c>
      <c s="907" t="s">
        <v>139</v>
      </c>
      <c s="1075">
        <v>4615</v>
      </c>
      <c s="1074">
        <f t="shared" si="4"/>
        <v>13845</v>
      </c>
      <c s="896"/>
      <c s="897">
        <f>B19*2075</f>
        <v>6225</v>
      </c>
      <c s="897">
        <f>B19*800</f>
        <v>2400</v>
      </c>
      <c s="897">
        <f t="shared" si="5"/>
        <v>5220</v>
      </c>
      <c s="896"/>
      <c s="909"/>
      <c s="906"/>
      <c s="898">
        <f t="shared" si="1"/>
        <v>0</v>
      </c>
      <c s="899">
        <f t="shared" si="6"/>
        <v>0</v>
      </c>
      <c s="897">
        <f>D19*2075</f>
        <v>0</v>
      </c>
      <c s="897">
        <f>D19*800</f>
        <v>0</v>
      </c>
      <c s="900">
        <f t="shared" si="2"/>
        <v>0</v>
      </c>
      <c s="901">
        <f t="shared" si="3"/>
        <v>5220</v>
      </c>
    </row>
    <row r="20" spans="1:20" s="910" customFormat="1" ht="30" customHeight="1" thickBot="1">
      <c r="A20" s="891" t="s">
        <v>134</v>
      </c>
      <c s="892">
        <v>53</v>
      </c>
      <c s="892">
        <v>0</v>
      </c>
      <c s="892">
        <v>57</v>
      </c>
      <c s="907" t="s">
        <v>140</v>
      </c>
      <c s="1075">
        <v>4615</v>
      </c>
      <c s="1074">
        <f t="shared" si="4"/>
        <v>244595</v>
      </c>
      <c s="896"/>
      <c s="897">
        <f>B20*2075</f>
        <v>109975</v>
      </c>
      <c s="897">
        <f>B20*800</f>
        <v>42400</v>
      </c>
      <c s="897">
        <f t="shared" si="5"/>
        <v>92220</v>
      </c>
      <c s="896"/>
      <c s="909"/>
      <c s="906"/>
      <c s="898">
        <f t="shared" si="1"/>
        <v>263055</v>
      </c>
      <c s="899">
        <f t="shared" si="6"/>
        <v>92603.625</v>
      </c>
      <c s="897">
        <f>D20*2075</f>
        <v>118275</v>
      </c>
      <c s="897">
        <f>D20*800</f>
        <v>45600</v>
      </c>
      <c s="900">
        <f t="shared" si="2"/>
        <v>6576.375</v>
      </c>
      <c s="901">
        <f t="shared" si="3"/>
        <v>184823.625</v>
      </c>
    </row>
    <row r="21" spans="1:20" s="910" customFormat="1" ht="30" customHeight="1" thickBot="1">
      <c r="A21" s="891" t="s">
        <v>135</v>
      </c>
      <c s="892">
        <v>153</v>
      </c>
      <c s="892">
        <v>0</v>
      </c>
      <c s="892">
        <f>'REGISTRO TRAMITES DEL DIA '!M30</f>
        <v>0</v>
      </c>
      <c s="907" t="s">
        <v>141</v>
      </c>
      <c s="1075">
        <v>4615</v>
      </c>
      <c s="1074">
        <f t="shared" si="4"/>
        <v>706095</v>
      </c>
      <c s="896"/>
      <c s="897">
        <f>B21*2075</f>
        <v>317475</v>
      </c>
      <c s="897">
        <f>B21*800</f>
        <v>122400</v>
      </c>
      <c s="897">
        <f t="shared" si="5"/>
        <v>266220</v>
      </c>
      <c s="896"/>
      <c s="909"/>
      <c s="906"/>
      <c s="898">
        <f t="shared" si="1"/>
        <v>0</v>
      </c>
      <c s="899">
        <f t="shared" si="6"/>
        <v>0</v>
      </c>
      <c s="897">
        <f>D21*2075</f>
        <v>0</v>
      </c>
      <c s="897">
        <f>D21*800</f>
        <v>0</v>
      </c>
      <c s="900">
        <f t="shared" si="2"/>
        <v>0</v>
      </c>
      <c s="901">
        <f t="shared" si="3"/>
        <v>266220</v>
      </c>
    </row>
    <row r="22" spans="1:20" s="910" customFormat="1" ht="30" customHeight="1" thickBot="1">
      <c r="A22" s="891" t="s">
        <v>136</v>
      </c>
      <c s="892">
        <v>203</v>
      </c>
      <c s="892">
        <v>0</v>
      </c>
      <c s="892">
        <v>57</v>
      </c>
      <c s="907" t="s">
        <v>142</v>
      </c>
      <c s="1075">
        <v>700</v>
      </c>
      <c s="1074">
        <f t="shared" si="4"/>
        <v>142100</v>
      </c>
      <c s="896"/>
      <c s="897"/>
      <c s="897"/>
      <c s="897">
        <f t="shared" si="5"/>
        <v>142100</v>
      </c>
      <c s="896"/>
      <c s="909"/>
      <c s="906"/>
      <c s="898">
        <f t="shared" si="1"/>
        <v>39900</v>
      </c>
      <c s="899">
        <f t="shared" si="6"/>
        <v>38902.5</v>
      </c>
      <c s="897"/>
      <c s="897"/>
      <c s="900">
        <f t="shared" si="2"/>
        <v>997.5</v>
      </c>
      <c s="901">
        <f t="shared" si="3"/>
        <v>181002.5</v>
      </c>
    </row>
    <row r="23" spans="1:20" s="910" customFormat="1" ht="30" customHeight="1" thickBot="1">
      <c r="A23" s="891" t="s">
        <v>137</v>
      </c>
      <c s="892">
        <v>0</v>
      </c>
      <c s="892">
        <v>0</v>
      </c>
      <c s="892">
        <f>'REGISTRO TRAMITES DEL DIA '!O30</f>
        <v>0</v>
      </c>
      <c s="907" t="s">
        <v>143</v>
      </c>
      <c s="1075">
        <v>6240</v>
      </c>
      <c s="1074">
        <f t="shared" si="4"/>
        <v>0</v>
      </c>
      <c s="896"/>
      <c s="897">
        <f>B23*2200</f>
        <v>0</v>
      </c>
      <c s="897">
        <f>B23*800</f>
        <v>0</v>
      </c>
      <c s="897">
        <f t="shared" si="5"/>
        <v>0</v>
      </c>
      <c s="896"/>
      <c s="909"/>
      <c s="906"/>
      <c s="898">
        <f t="shared" si="1"/>
        <v>0</v>
      </c>
      <c s="899">
        <f t="shared" si="6"/>
        <v>0</v>
      </c>
      <c s="897">
        <f>D23*2200</f>
        <v>0</v>
      </c>
      <c s="897"/>
      <c s="900">
        <f t="shared" si="2"/>
        <v>0</v>
      </c>
      <c s="901">
        <f t="shared" si="3"/>
        <v>0</v>
      </c>
    </row>
    <row r="24" spans="1:20" s="910" customFormat="1" ht="30" customHeight="1" thickBot="1">
      <c r="A24" s="891" t="s">
        <v>244</v>
      </c>
      <c s="892">
        <v>0</v>
      </c>
      <c s="892">
        <v>0</v>
      </c>
      <c s="892">
        <v>3089</v>
      </c>
      <c s="907" t="s">
        <v>245</v>
      </c>
      <c s="1075">
        <v>105</v>
      </c>
      <c s="1074">
        <f t="shared" si="4"/>
        <v>0</v>
      </c>
      <c s="896"/>
      <c s="897"/>
      <c s="897"/>
      <c s="897">
        <f t="shared" si="5"/>
        <v>0</v>
      </c>
      <c s="896"/>
      <c s="909"/>
      <c s="906"/>
      <c s="898">
        <f t="shared" si="1"/>
        <v>324345</v>
      </c>
      <c s="899">
        <f t="shared" si="6"/>
        <v>316236.375</v>
      </c>
      <c s="897"/>
      <c s="897"/>
      <c s="900">
        <f t="shared" si="2"/>
        <v>8108.625</v>
      </c>
      <c s="901">
        <f t="shared" si="3"/>
        <v>316236.375</v>
      </c>
    </row>
    <row r="25" spans="1:20" s="910" customFormat="1" ht="39" customHeight="1" thickBot="1">
      <c r="A25" s="911" t="s">
        <v>248</v>
      </c>
      <c s="912">
        <v>0</v>
      </c>
      <c s="912">
        <v>0</v>
      </c>
      <c s="912">
        <f>'REGISTRO TRAMITES DEL DIA '!J60</f>
        <v>0</v>
      </c>
      <c s="913" t="s">
        <v>249</v>
      </c>
      <c s="1076">
        <f>'REGISTRO TRAMITES DEL DIA '!H60</f>
        <v>5000</v>
      </c>
      <c s="1074">
        <f t="shared" si="4"/>
        <v>0</v>
      </c>
      <c s="915"/>
      <c s="916"/>
      <c s="916"/>
      <c s="897">
        <f t="shared" si="5"/>
        <v>0</v>
      </c>
      <c s="915"/>
      <c s="916">
        <f>C25*F25</f>
        <v>0</v>
      </c>
      <c s="917"/>
      <c s="898">
        <f t="shared" si="1"/>
        <v>0</v>
      </c>
      <c s="899">
        <f t="shared" si="6"/>
        <v>0</v>
      </c>
      <c s="897"/>
      <c s="918">
        <v>0</v>
      </c>
      <c s="900">
        <f t="shared" si="2"/>
        <v>0</v>
      </c>
      <c s="901">
        <f t="shared" si="3"/>
        <v>0</v>
      </c>
    </row>
    <row r="26" spans="1:20" s="910" customFormat="1" ht="30" customHeight="1" thickBot="1">
      <c r="A26" s="919" t="s">
        <v>250</v>
      </c>
      <c s="920">
        <v>0</v>
      </c>
      <c s="912">
        <v>20</v>
      </c>
      <c s="912">
        <f>'REGISTRO TRAMITES DEL DIA '!J61</f>
        <v>0</v>
      </c>
      <c s="921" t="s">
        <v>251</v>
      </c>
      <c s="1076">
        <f>'REGISTRO TRAMITES DEL DIA '!H61</f>
        <v>1500</v>
      </c>
      <c s="1074">
        <f t="shared" si="4"/>
        <v>0</v>
      </c>
      <c s="915"/>
      <c s="922">
        <f>B26*2200</f>
        <v>0</v>
      </c>
      <c s="922">
        <f>B26*800</f>
        <v>0</v>
      </c>
      <c s="897">
        <f t="shared" si="5"/>
        <v>0</v>
      </c>
      <c s="915"/>
      <c s="916">
        <f t="shared" si="7" ref="M26:M46">C26*F26</f>
        <v>30000</v>
      </c>
      <c s="917"/>
      <c s="898">
        <f t="shared" si="1"/>
        <v>0</v>
      </c>
      <c s="899">
        <f t="shared" si="6"/>
        <v>0</v>
      </c>
      <c s="897"/>
      <c s="922">
        <v>0</v>
      </c>
      <c s="900">
        <f t="shared" si="2"/>
        <v>0</v>
      </c>
      <c s="901">
        <f t="shared" si="3"/>
        <v>30000</v>
      </c>
    </row>
    <row r="27" spans="1:20" s="910" customFormat="1" ht="30" customHeight="1" thickBot="1">
      <c r="A27" s="919" t="s">
        <v>252</v>
      </c>
      <c s="912">
        <v>0</v>
      </c>
      <c s="912">
        <v>8</v>
      </c>
      <c s="912">
        <f>'REGISTRO TRAMITES DEL DIA '!J62</f>
        <v>0</v>
      </c>
      <c s="923" t="s">
        <v>253</v>
      </c>
      <c s="1076">
        <f>'REGISTRO TRAMITES DEL DIA '!H62</f>
        <v>1500</v>
      </c>
      <c s="1074">
        <f t="shared" si="4"/>
        <v>0</v>
      </c>
      <c s="915"/>
      <c s="916">
        <f>B27*2200</f>
        <v>0</v>
      </c>
      <c s="916">
        <f>B27*800</f>
        <v>0</v>
      </c>
      <c s="897">
        <f t="shared" si="5"/>
        <v>0</v>
      </c>
      <c s="915"/>
      <c s="916">
        <f t="shared" si="7"/>
        <v>12000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12000</v>
      </c>
    </row>
    <row r="28" spans="1:20" s="910" customFormat="1" ht="30" customHeight="1" thickBot="1">
      <c r="A28" s="919" t="s">
        <v>314</v>
      </c>
      <c s="912">
        <v>0</v>
      </c>
      <c s="912">
        <v>0</v>
      </c>
      <c s="912">
        <f>'REGISTRO TRAMITES DEL DIA '!J63</f>
        <v>0</v>
      </c>
      <c s="923" t="s">
        <v>315</v>
      </c>
      <c s="1076">
        <f>'REGISTRO TRAMITES DEL DIA '!H63</f>
        <v>1500</v>
      </c>
      <c s="1074">
        <f t="shared" si="4"/>
        <v>0</v>
      </c>
      <c s="915"/>
      <c s="916"/>
      <c s="916">
        <f t="shared" si="8" ref="J28:J47">B28*800</f>
        <v>0</v>
      </c>
      <c s="897">
        <f t="shared" si="5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/>
      <c s="900">
        <f t="shared" si="2"/>
        <v>0</v>
      </c>
      <c s="901">
        <f t="shared" si="3"/>
        <v>0</v>
      </c>
    </row>
    <row r="29" spans="1:20" s="910" customFormat="1" ht="30" customHeight="1" thickBot="1">
      <c r="A29" s="911" t="s">
        <v>298</v>
      </c>
      <c s="920">
        <v>0</v>
      </c>
      <c s="912">
        <f>'REGISTRO TRAMITES DEL DIA '!G64</f>
        <v>0</v>
      </c>
      <c s="912">
        <f>'REGISTRO TRAMITES DEL DIA '!J64</f>
        <v>0</v>
      </c>
      <c s="925" t="s">
        <v>299</v>
      </c>
      <c s="1076">
        <f>'REGISTRO TRAMITES DEL DIA '!H64</f>
        <v>1500</v>
      </c>
      <c s="1074">
        <f t="shared" si="4"/>
        <v>0</v>
      </c>
      <c s="915"/>
      <c s="916"/>
      <c s="916">
        <f t="shared" si="8"/>
        <v>0</v>
      </c>
      <c s="897">
        <f t="shared" si="5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/>
      <c s="900">
        <f t="shared" si="2"/>
        <v>0</v>
      </c>
      <c s="901">
        <f t="shared" si="3"/>
        <v>0</v>
      </c>
    </row>
    <row r="30" spans="1:20" s="910" customFormat="1" ht="30" customHeight="1" thickBot="1">
      <c r="A30" s="911" t="s">
        <v>323</v>
      </c>
      <c s="920">
        <v>0</v>
      </c>
      <c s="912">
        <f>'REGISTRO TRAMITES DEL DIA '!G65</f>
        <v>0</v>
      </c>
      <c s="912">
        <f>'REGISTRO TRAMITES DEL DIA '!J65</f>
        <v>0</v>
      </c>
      <c s="1077" t="s">
        <v>391</v>
      </c>
      <c s="1076">
        <f>'REGISTRO TRAMITES DEL DIA '!H65</f>
        <v>3000</v>
      </c>
      <c s="1074">
        <f t="shared" si="4"/>
        <v>0</v>
      </c>
      <c s="915"/>
      <c s="916"/>
      <c s="916">
        <f t="shared" si="8"/>
        <v>0</v>
      </c>
      <c s="897">
        <f t="shared" si="5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/>
      <c s="900">
        <f t="shared" si="2"/>
        <v>0</v>
      </c>
      <c s="901">
        <f t="shared" si="3"/>
        <v>0</v>
      </c>
    </row>
    <row r="31" spans="1:20" s="910" customFormat="1" ht="30" customHeight="1" thickBot="1">
      <c r="A31" s="911" t="s">
        <v>325</v>
      </c>
      <c s="920">
        <v>0</v>
      </c>
      <c s="912">
        <f>'REGISTRO TRAMITES DEL DIA '!G66</f>
        <v>0</v>
      </c>
      <c s="912">
        <f>'REGISTRO TRAMITES DEL DIA '!J66</f>
        <v>0</v>
      </c>
      <c s="1077" t="s">
        <v>392</v>
      </c>
      <c s="1076">
        <f>'REGISTRO TRAMITES DEL DIA '!H66</f>
        <v>5000</v>
      </c>
      <c s="1074">
        <f t="shared" si="4"/>
        <v>0</v>
      </c>
      <c s="915"/>
      <c s="916"/>
      <c s="916">
        <f t="shared" si="8"/>
        <v>0</v>
      </c>
      <c s="897">
        <f t="shared" si="5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/>
      <c s="900">
        <f t="shared" si="2"/>
        <v>0</v>
      </c>
      <c s="901">
        <f t="shared" si="3"/>
        <v>0</v>
      </c>
    </row>
    <row r="32" spans="1:20" s="910" customFormat="1" ht="19.5" thickBot="1">
      <c r="A32" s="919" t="s">
        <v>319</v>
      </c>
      <c s="912">
        <v>0</v>
      </c>
      <c s="912">
        <v>0</v>
      </c>
      <c s="912">
        <f>'REGISTRO TRAMITES DEL DIA '!J67</f>
        <v>0</v>
      </c>
      <c s="923" t="s">
        <v>320</v>
      </c>
      <c s="1076">
        <f>'REGISTRO TRAMITES DEL DIA '!H67</f>
        <v>1000</v>
      </c>
      <c s="1078">
        <f>B32*F32</f>
        <v>0</v>
      </c>
      <c s="915"/>
      <c s="916">
        <f>B32*2200</f>
        <v>0</v>
      </c>
      <c s="916">
        <f t="shared" si="8"/>
        <v>0</v>
      </c>
      <c s="897">
        <f t="shared" si="5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0</v>
      </c>
    </row>
    <row r="33" spans="1:20" s="910" customFormat="1" ht="30" customHeight="1" thickBot="1">
      <c r="A33" s="919" t="s">
        <v>254</v>
      </c>
      <c s="912">
        <v>0</v>
      </c>
      <c s="912">
        <v>49</v>
      </c>
      <c s="912">
        <v>137</v>
      </c>
      <c s="923" t="s">
        <v>255</v>
      </c>
      <c s="1076">
        <f>'REGISTRO TRAMITES DEL DIA '!H68</f>
        <v>50</v>
      </c>
      <c s="1078">
        <f>B33*F33</f>
        <v>0</v>
      </c>
      <c s="915"/>
      <c s="916">
        <f>B33*2200</f>
        <v>0</v>
      </c>
      <c s="916">
        <f t="shared" si="8"/>
        <v>0</v>
      </c>
      <c s="916">
        <f t="shared" si="9" ref="K33:K47">G33-I33-J33</f>
        <v>0</v>
      </c>
      <c s="915"/>
      <c s="916">
        <f t="shared" si="7"/>
        <v>2450</v>
      </c>
      <c s="917"/>
      <c s="898">
        <f t="shared" si="1"/>
        <v>6850</v>
      </c>
      <c s="899">
        <f t="shared" si="6"/>
        <v>6850</v>
      </c>
      <c s="897"/>
      <c s="916">
        <v>0</v>
      </c>
      <c s="900">
        <v>0</v>
      </c>
      <c s="901">
        <f t="shared" si="3"/>
        <v>9300</v>
      </c>
    </row>
    <row r="34" spans="1:20" s="910" customFormat="1" ht="30" customHeight="1" thickBot="1">
      <c r="A34" s="919" t="s">
        <v>256</v>
      </c>
      <c s="912">
        <v>0</v>
      </c>
      <c s="912">
        <v>59</v>
      </c>
      <c s="912">
        <f>'REGISTRO TRAMITES DEL DIA '!J69</f>
        <v>0</v>
      </c>
      <c s="923" t="s">
        <v>257</v>
      </c>
      <c s="1076">
        <f>'REGISTRO TRAMITES DEL DIA '!H69</f>
        <v>1000</v>
      </c>
      <c s="1078">
        <f t="shared" si="10" ref="G34:G47">B34*F34</f>
        <v>0</v>
      </c>
      <c s="915"/>
      <c s="916">
        <f t="shared" si="11" ref="I34:I47">B34*2200</f>
        <v>0</v>
      </c>
      <c s="916">
        <f t="shared" si="8"/>
        <v>0</v>
      </c>
      <c s="916">
        <f t="shared" si="9"/>
        <v>0</v>
      </c>
      <c s="915"/>
      <c s="916">
        <f t="shared" si="7"/>
        <v>59000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v>0</v>
      </c>
      <c s="901">
        <f t="shared" si="3"/>
        <v>59000</v>
      </c>
    </row>
    <row r="35" spans="1:20" s="910" customFormat="1" ht="37.5" customHeight="1" thickBot="1">
      <c r="A35" s="919" t="s">
        <v>258</v>
      </c>
      <c s="912">
        <v>0</v>
      </c>
      <c s="912">
        <f>'REGISTRO TRAMITES DEL DIA '!G70</f>
        <v>0</v>
      </c>
      <c s="912">
        <f>'REGISTRO TRAMITES DEL DIA '!J70</f>
        <v>0</v>
      </c>
      <c s="923" t="s">
        <v>259</v>
      </c>
      <c s="1076">
        <f>'REGISTRO TRAMITES DEL DIA '!H70</f>
        <v>500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0</v>
      </c>
    </row>
    <row r="36" spans="1:20" s="910" customFormat="1" ht="37.5" customHeight="1" thickBot="1">
      <c r="A36" s="919" t="s">
        <v>327</v>
      </c>
      <c s="912">
        <v>0</v>
      </c>
      <c s="912">
        <f>'REGISTRO TRAMITES DEL DIA '!G71</f>
        <v>0</v>
      </c>
      <c s="912">
        <f>'REGISTRO TRAMITES DEL DIA '!J71</f>
        <v>0</v>
      </c>
      <c s="923" t="s">
        <v>393</v>
      </c>
      <c s="1076">
        <f>'REGISTRO TRAMITES DEL DIA '!H71</f>
        <v>500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0</v>
      </c>
    </row>
    <row r="37" spans="1:20" s="910" customFormat="1" ht="37.5" customHeight="1" thickBot="1">
      <c r="A37" s="919" t="s">
        <v>624</v>
      </c>
      <c s="912">
        <v>0</v>
      </c>
      <c s="912">
        <f>+'[3]INGRESO DEL DIA'!$C$37</f>
        <v>0</v>
      </c>
      <c s="912">
        <f>'REGISTRO TRAMITES DEL DIA '!J72</f>
        <v>0</v>
      </c>
      <c s="923" t="s">
        <v>625</v>
      </c>
      <c s="1076">
        <v>500</v>
      </c>
      <c s="1078">
        <f>B37*F37</f>
        <v>0</v>
      </c>
      <c s="915"/>
      <c s="916">
        <f>B37*2200</f>
        <v>0</v>
      </c>
      <c s="916">
        <f>B37*800</f>
        <v>0</v>
      </c>
      <c s="916">
        <f>G37-I37-J37</f>
        <v>0</v>
      </c>
      <c s="915"/>
      <c s="916">
        <f t="shared" si="7"/>
        <v>0</v>
      </c>
      <c s="917"/>
      <c s="898">
        <f>D37*F37</f>
        <v>0</v>
      </c>
      <c s="899">
        <f>O37-Q37-R37-S37</f>
        <v>0</v>
      </c>
      <c s="897"/>
      <c s="916">
        <v>0</v>
      </c>
      <c s="900">
        <f t="shared" si="2"/>
        <v>0</v>
      </c>
      <c s="901">
        <f t="shared" si="3"/>
        <v>0</v>
      </c>
    </row>
    <row r="38" spans="1:20" s="910" customFormat="1" ht="37.5" customHeight="1" thickBot="1">
      <c r="A38" s="919" t="s">
        <v>441</v>
      </c>
      <c s="912">
        <v>0</v>
      </c>
      <c s="912">
        <f>'REGISTRO TRAMITES DEL DIA '!G73</f>
        <v>0</v>
      </c>
      <c s="912">
        <f>'REGISTRO TRAMITES DEL DIA '!J73</f>
        <v>0</v>
      </c>
      <c s="1077" t="s">
        <v>442</v>
      </c>
      <c s="1076">
        <f>'REGISTRO TRAMITES DEL DIA '!H73</f>
        <v>1000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0</v>
      </c>
    </row>
    <row r="39" spans="1:20" s="910" customFormat="1" ht="30" customHeight="1" thickBot="1">
      <c r="A39" s="919" t="s">
        <v>260</v>
      </c>
      <c s="912">
        <v>0</v>
      </c>
      <c s="912">
        <v>82</v>
      </c>
      <c s="912">
        <f>'REGISTRO TRAMITES DEL DIA '!J74</f>
        <v>0</v>
      </c>
      <c s="923" t="s">
        <v>261</v>
      </c>
      <c s="1076">
        <f>'REGISTRO TRAMITES DEL DIA '!H74</f>
        <v>1000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82000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82000</v>
      </c>
    </row>
    <row r="40" spans="1:20" s="910" customFormat="1" ht="30" customHeight="1" thickBot="1">
      <c r="A40" s="919" t="s">
        <v>262</v>
      </c>
      <c s="912">
        <v>0</v>
      </c>
      <c s="912">
        <v>20</v>
      </c>
      <c s="912">
        <f>'REGISTRO TRAMITES DEL DIA '!J75</f>
        <v>0</v>
      </c>
      <c s="923" t="s">
        <v>263</v>
      </c>
      <c s="1076">
        <v>3975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79500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79500</v>
      </c>
    </row>
    <row r="41" spans="1:20" s="910" customFormat="1" ht="30" customHeight="1" thickBot="1">
      <c r="A41" s="919" t="s">
        <v>264</v>
      </c>
      <c s="912">
        <v>0</v>
      </c>
      <c s="912">
        <v>6</v>
      </c>
      <c s="912">
        <f>'REGISTRO TRAMITES DEL DIA '!J76</f>
        <v>0</v>
      </c>
      <c s="913" t="s">
        <v>265</v>
      </c>
      <c s="1076">
        <f>'REGISTRO TRAMITES DEL DIA '!H76</f>
        <v>5000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30000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30000</v>
      </c>
    </row>
    <row r="42" spans="1:20" s="910" customFormat="1" ht="30" customHeight="1" thickBot="1">
      <c r="A42" s="919" t="s">
        <v>266</v>
      </c>
      <c s="912">
        <v>0</v>
      </c>
      <c s="912">
        <v>4</v>
      </c>
      <c s="912">
        <f>'REGISTRO TRAMITES DEL DIA '!J77</f>
        <v>0</v>
      </c>
      <c s="913" t="s">
        <v>267</v>
      </c>
      <c s="1076">
        <v>3000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12000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12000</v>
      </c>
    </row>
    <row r="43" spans="1:20" s="910" customFormat="1" ht="30" customHeight="1" thickBot="1">
      <c r="A43" s="919" t="s">
        <v>268</v>
      </c>
      <c s="912">
        <v>0</v>
      </c>
      <c s="912">
        <v>109</v>
      </c>
      <c s="912">
        <f>'REGISTRO TRAMITES DEL DIA '!J78</f>
        <v>0</v>
      </c>
      <c s="913" t="s">
        <v>269</v>
      </c>
      <c s="1076">
        <v>4032.1100999999999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439500.00089999998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439500.00089999998</v>
      </c>
    </row>
    <row r="44" spans="1:20" s="910" customFormat="1" ht="30" customHeight="1" thickBot="1">
      <c r="A44" s="919" t="s">
        <v>270</v>
      </c>
      <c s="912">
        <v>0</v>
      </c>
      <c s="912">
        <f>'REGISTRO TRAMITES DEL DIA '!G79</f>
        <v>0</v>
      </c>
      <c s="912">
        <f>'REGISTRO TRAMITES DEL DIA '!J79</f>
        <v>0</v>
      </c>
      <c s="913" t="s">
        <v>271</v>
      </c>
      <c s="1076">
        <f>'REGISTRO TRAMITES DEL DIA '!H79</f>
        <v>100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0</v>
      </c>
    </row>
    <row r="45" spans="1:20" s="910" customFormat="1" ht="39" customHeight="1" thickBot="1">
      <c r="A45" s="919" t="s">
        <v>272</v>
      </c>
      <c s="912">
        <v>0</v>
      </c>
      <c s="912">
        <v>3</v>
      </c>
      <c s="912">
        <f>'REGISTRO TRAMITES DEL DIA '!J80</f>
        <v>0</v>
      </c>
      <c s="913" t="s">
        <v>303</v>
      </c>
      <c s="1076">
        <f>'REGISTRO TRAMITES DEL DIA '!H80</f>
        <v>1500</v>
      </c>
      <c s="1078">
        <f t="shared" si="10"/>
        <v>0</v>
      </c>
      <c s="915"/>
      <c s="916">
        <f t="shared" si="11"/>
        <v>0</v>
      </c>
      <c s="916">
        <f t="shared" si="8"/>
        <v>0</v>
      </c>
      <c s="916">
        <f t="shared" si="9"/>
        <v>0</v>
      </c>
      <c s="915"/>
      <c s="916">
        <f t="shared" si="7"/>
        <v>4500</v>
      </c>
      <c s="917"/>
      <c s="898">
        <f t="shared" si="1"/>
        <v>0</v>
      </c>
      <c s="899">
        <f t="shared" si="6"/>
        <v>0</v>
      </c>
      <c s="897"/>
      <c s="916">
        <v>0</v>
      </c>
      <c s="900">
        <f t="shared" si="2"/>
        <v>0</v>
      </c>
      <c s="901">
        <f t="shared" si="3"/>
        <v>4500</v>
      </c>
    </row>
    <row r="46" spans="1:20" s="910" customFormat="1" ht="30" customHeight="1" thickBot="1">
      <c r="A46" s="919" t="s">
        <v>274</v>
      </c>
      <c s="912">
        <v>0</v>
      </c>
      <c s="912">
        <f>'REGISTRO TRAMITES DEL DIA '!G81</f>
        <v>0</v>
      </c>
      <c s="912">
        <f>'REGISTRO TRAMITES DEL DIA '!J81</f>
        <v>0</v>
      </c>
      <c s="913" t="s">
        <v>275</v>
      </c>
      <c s="1076">
        <f>'REGISTRO TRAMITES DEL DIA '!H81</f>
        <v>60352</v>
      </c>
      <c s="1078">
        <f t="shared" si="10"/>
        <v>0</v>
      </c>
      <c s="928"/>
      <c s="916">
        <f t="shared" si="11"/>
        <v>0</v>
      </c>
      <c s="916">
        <f t="shared" si="8"/>
        <v>0</v>
      </c>
      <c s="916">
        <f t="shared" si="9"/>
        <v>0</v>
      </c>
      <c s="928"/>
      <c s="916">
        <f t="shared" si="7"/>
        <v>0</v>
      </c>
      <c s="930"/>
      <c s="898">
        <f t="shared" si="1"/>
        <v>0</v>
      </c>
      <c s="899">
        <f t="shared" si="6"/>
        <v>0</v>
      </c>
      <c s="931"/>
      <c s="929">
        <v>0</v>
      </c>
      <c s="900">
        <f t="shared" si="2"/>
        <v>0</v>
      </c>
      <c s="901">
        <f t="shared" si="3"/>
        <v>0</v>
      </c>
    </row>
    <row r="47" spans="1:20" s="910" customFormat="1" ht="30" customHeight="1" thickBot="1">
      <c r="A47" s="919" t="s">
        <v>485</v>
      </c>
      <c s="912">
        <v>0</v>
      </c>
      <c s="912">
        <f>'REGISTRO TRAMITES DEL DIA '!G82</f>
        <v>0</v>
      </c>
      <c s="912">
        <f>'REGISTRO TRAMITES DEL DIA '!J82</f>
        <v>0</v>
      </c>
      <c s="932" t="s">
        <v>486</v>
      </c>
      <c s="1076">
        <f>'REGISTRO TRAMITES DEL DIA '!H82</f>
        <v>1500</v>
      </c>
      <c s="1078">
        <f t="shared" si="10"/>
        <v>0</v>
      </c>
      <c s="928"/>
      <c s="916">
        <f t="shared" si="11"/>
        <v>0</v>
      </c>
      <c s="916">
        <f t="shared" si="8"/>
        <v>0</v>
      </c>
      <c s="916">
        <f t="shared" si="9"/>
        <v>0</v>
      </c>
      <c s="928"/>
      <c s="929">
        <f>C47*F47</f>
        <v>0</v>
      </c>
      <c s="930"/>
      <c s="898">
        <f t="shared" si="1"/>
        <v>0</v>
      </c>
      <c s="1080"/>
      <c s="931"/>
      <c s="929">
        <v>0</v>
      </c>
      <c s="1079"/>
      <c s="901">
        <f t="shared" si="3"/>
        <v>0</v>
      </c>
    </row>
    <row r="48" spans="1:30" ht="41.25" customHeight="1">
      <c r="A48" s="934" t="s">
        <v>246</v>
      </c>
      <c s="935">
        <f>SUM(B10:B47)</f>
        <v>10160</v>
      </c>
      <c s="935">
        <f>SUM(C10:C47)</f>
        <v>360</v>
      </c>
      <c s="935">
        <f>SUM(D10:D47)</f>
        <v>6315</v>
      </c>
      <c s="1395" t="s">
        <v>182</v>
      </c>
      <c s="1395"/>
      <c s="936">
        <f>SUM(G10:G47)</f>
        <v>30352815</v>
      </c>
      <c s="936"/>
      <c s="936">
        <f>SUM(I10:I47)</f>
        <v>11713075</v>
      </c>
      <c s="936">
        <f>SUM(J10:J47)</f>
        <v>308800</v>
      </c>
      <c s="936">
        <f>SUM(K10:K47)</f>
        <v>18330940</v>
      </c>
      <c s="936"/>
      <c s="937">
        <f>SUM(M25:M47)</f>
        <v>750950.00089999998</v>
      </c>
      <c s="937"/>
      <c s="936">
        <f>SUM(O10:O47)</f>
        <v>12413630</v>
      </c>
      <c s="936">
        <f>SUM(P10:P47)</f>
        <v>7648985.5</v>
      </c>
      <c s="936">
        <f>SUM(Q10:Q46)</f>
        <v>4146475</v>
      </c>
      <c s="936">
        <f>SUM(R10:R47)</f>
        <v>308000</v>
      </c>
      <c s="936">
        <f>SUM(S10:S24)</f>
        <v>310169.5</v>
      </c>
      <c s="936">
        <f>SUM(T10:T47)</f>
        <v>26730875.5009</v>
      </c>
      <c s="939"/>
      <c s="939"/>
      <c s="938">
        <v>0</v>
      </c>
      <c s="939"/>
      <c s="939"/>
      <c s="939"/>
      <c s="939"/>
      <c s="939"/>
      <c s="939"/>
      <c s="939"/>
    </row>
    <row r="49" spans="5:23" ht="26.25" customHeight="1">
      <c r="E49" s="963"/>
      <c r="G49" s="962"/>
      <c r="I49" s="998"/>
      <c r="K49" s="938"/>
      <c s="938"/>
      <c s="938"/>
      <c r="P49" s="1081"/>
      <c s="1081"/>
      <c r="W49" s="1082">
        <v>0</v>
      </c>
    </row>
    <row r="50" spans="2:23" ht="48.75" customHeight="1">
      <c r="B50" s="956"/>
      <c s="956"/>
      <c s="956"/>
      <c s="1387" t="s">
        <v>757</v>
      </c>
      <c s="1388"/>
      <c s="985">
        <f>SUM(I50:K50)</f>
        <v>0</v>
      </c>
      <c s="1009"/>
      <c s="985">
        <v>0</v>
      </c>
      <c s="985"/>
      <c s="985"/>
      <c s="1009"/>
      <c s="986">
        <v>174000</v>
      </c>
      <c s="1009"/>
      <c s="986"/>
      <c s="1083"/>
      <c s="1083"/>
      <c s="985"/>
      <c s="985"/>
      <c s="1084">
        <f>+M50</f>
        <v>174000</v>
      </c>
      <c r="W50" s="1082"/>
    </row>
    <row r="51" spans="2:23" ht="49.5" customHeight="1" hidden="1">
      <c r="B51" s="956"/>
      <c s="956"/>
      <c s="956"/>
      <c s="1396" t="s">
        <v>650</v>
      </c>
      <c s="1396"/>
      <c s="986">
        <f>+I51+J51+K51</f>
        <v>0</v>
      </c>
      <c s="1003"/>
      <c s="986">
        <v>0</v>
      </c>
      <c s="986">
        <v>0</v>
      </c>
      <c s="1189">
        <v>0</v>
      </c>
      <c s="1003"/>
      <c s="986">
        <v>0</v>
      </c>
      <c s="1003"/>
      <c s="986"/>
      <c s="1083"/>
      <c s="1083"/>
      <c s="986"/>
      <c s="986"/>
      <c s="1190"/>
      <c r="W51" s="1082"/>
    </row>
    <row r="52" spans="2:23" ht="51" customHeight="1" hidden="1">
      <c r="B52" s="956"/>
      <c s="956"/>
      <c s="956"/>
      <c s="1387" t="s">
        <v>643</v>
      </c>
      <c s="1388"/>
      <c s="986">
        <f>SUM(I52:K52)</f>
        <v>0</v>
      </c>
      <c s="1009"/>
      <c s="985"/>
      <c s="985"/>
      <c s="1185">
        <v>0</v>
      </c>
      <c s="1009"/>
      <c s="986"/>
      <c s="1009"/>
      <c s="986"/>
      <c s="1083"/>
      <c s="1083"/>
      <c s="985"/>
      <c s="985"/>
      <c s="1084"/>
      <c r="W52" s="1082"/>
    </row>
    <row r="53" spans="2:23" ht="37.5" customHeight="1" hidden="1">
      <c r="B53" s="956"/>
      <c s="956"/>
      <c s="956"/>
      <c s="1387" t="s">
        <v>719</v>
      </c>
      <c s="1388"/>
      <c s="986">
        <v>0</v>
      </c>
      <c s="1009"/>
      <c s="985"/>
      <c s="985"/>
      <c s="1185">
        <v>0</v>
      </c>
      <c s="1009"/>
      <c s="986" t="s">
        <v>60</v>
      </c>
      <c s="1009"/>
      <c s="986"/>
      <c s="1083"/>
      <c s="1083"/>
      <c s="985"/>
      <c s="985"/>
      <c s="1084"/>
      <c r="W53" s="1082"/>
    </row>
    <row r="54" spans="2:23" ht="39.75" customHeight="1">
      <c r="B54" s="956"/>
      <c s="956"/>
      <c s="956"/>
      <c s="1387" t="s">
        <v>756</v>
      </c>
      <c s="1388"/>
      <c s="986">
        <f>+I54+J54+K54</f>
        <v>175</v>
      </c>
      <c s="1003"/>
      <c s="986">
        <v>0</v>
      </c>
      <c s="986"/>
      <c s="1189">
        <v>175</v>
      </c>
      <c s="1003"/>
      <c s="986">
        <v>0</v>
      </c>
      <c s="1003"/>
      <c s="986"/>
      <c s="1083"/>
      <c s="1083"/>
      <c s="986"/>
      <c s="986"/>
      <c s="1190"/>
      <c r="W54" s="1082"/>
    </row>
    <row r="55" spans="2:23" ht="32.25" customHeight="1" hidden="1">
      <c r="B55" s="956"/>
      <c s="956"/>
      <c s="956"/>
      <c s="1387" t="s">
        <v>710</v>
      </c>
      <c s="1388"/>
      <c s="985">
        <f>SUM(I55:K55)</f>
        <v>0</v>
      </c>
      <c s="1009"/>
      <c s="985"/>
      <c s="985"/>
      <c s="1185">
        <v>0</v>
      </c>
      <c s="1009"/>
      <c s="985"/>
      <c s="1009"/>
      <c s="985"/>
      <c s="1085"/>
      <c s="1085"/>
      <c s="985"/>
      <c s="985"/>
      <c s="1084"/>
      <c r="W55" s="1082"/>
    </row>
    <row r="56" spans="2:23" ht="37.5" customHeight="1" hidden="1">
      <c r="B56" s="956"/>
      <c s="956"/>
      <c s="956"/>
      <c s="1387" t="s">
        <v>628</v>
      </c>
      <c s="1387"/>
      <c s="985">
        <f>SUM(I56:K56)</f>
        <v>0</v>
      </c>
      <c s="1009"/>
      <c s="985">
        <v>0</v>
      </c>
      <c s="985">
        <v>0</v>
      </c>
      <c s="1185">
        <v>0</v>
      </c>
      <c s="1009"/>
      <c s="985"/>
      <c s="1009"/>
      <c s="985"/>
      <c s="1085"/>
      <c s="1085"/>
      <c s="985"/>
      <c s="985"/>
      <c s="1084"/>
      <c r="W56" s="1082"/>
    </row>
    <row r="57" spans="2:23" ht="35.25" customHeight="1" hidden="1">
      <c r="B57" s="956"/>
      <c s="956"/>
      <c s="956"/>
      <c s="1387" t="s">
        <v>641</v>
      </c>
      <c s="1387"/>
      <c s="985">
        <f>SUM(I57:K57)</f>
        <v>0</v>
      </c>
      <c s="1009"/>
      <c s="985">
        <v>0</v>
      </c>
      <c s="985">
        <v>0</v>
      </c>
      <c s="1185">
        <v>0</v>
      </c>
      <c s="1009"/>
      <c s="985"/>
      <c s="1009"/>
      <c s="985"/>
      <c s="1085"/>
      <c s="1085"/>
      <c s="985"/>
      <c s="985"/>
      <c s="1084"/>
      <c r="W57" s="1082"/>
    </row>
    <row r="58" spans="2:23" ht="35.25" customHeight="1" hidden="1">
      <c r="B58" s="956"/>
      <c s="956"/>
      <c s="956"/>
      <c s="1387" t="s">
        <v>629</v>
      </c>
      <c s="1387"/>
      <c s="985">
        <f>+I58+J58+K58</f>
        <v>0</v>
      </c>
      <c s="1009"/>
      <c s="985"/>
      <c s="985"/>
      <c s="1184">
        <v>0</v>
      </c>
      <c s="1009"/>
      <c s="985"/>
      <c s="1009"/>
      <c s="985"/>
      <c s="1085"/>
      <c s="1085"/>
      <c s="985"/>
      <c s="985"/>
      <c s="1084"/>
      <c r="W58" s="1082"/>
    </row>
    <row r="59" spans="2:23" ht="42" customHeight="1" hidden="1">
      <c r="B59" s="956"/>
      <c s="956"/>
      <c s="956"/>
      <c s="1396" t="s">
        <v>672</v>
      </c>
      <c s="1396"/>
      <c s="985">
        <f>+I59+J59+K59</f>
        <v>0</v>
      </c>
      <c s="1009"/>
      <c s="985"/>
      <c s="985"/>
      <c s="1184">
        <v>0</v>
      </c>
      <c s="1009"/>
      <c s="985"/>
      <c s="1009"/>
      <c s="985"/>
      <c s="1085"/>
      <c s="1085"/>
      <c s="985"/>
      <c s="985"/>
      <c s="1084"/>
      <c r="W59" s="1082"/>
    </row>
    <row r="60" spans="2:23" ht="38.25" customHeight="1" hidden="1">
      <c r="B60" s="956"/>
      <c s="956"/>
      <c s="956"/>
      <c s="1396" t="s">
        <v>666</v>
      </c>
      <c s="1396"/>
      <c s="985">
        <f>+I60+J60+K60</f>
        <v>0</v>
      </c>
      <c s="1009"/>
      <c s="985"/>
      <c s="985"/>
      <c s="1183">
        <v>0</v>
      </c>
      <c s="1009"/>
      <c s="985"/>
      <c s="1009"/>
      <c s="985"/>
      <c s="1085"/>
      <c s="1085"/>
      <c s="985"/>
      <c s="985"/>
      <c s="1084">
        <f>+K60</f>
        <v>0</v>
      </c>
      <c r="W60" s="1082"/>
    </row>
    <row r="61" spans="2:23" ht="34.5" customHeight="1" hidden="1">
      <c r="B61" s="956"/>
      <c s="956"/>
      <c s="956"/>
      <c s="1396" t="s">
        <v>702</v>
      </c>
      <c s="1396"/>
      <c s="985">
        <f>+I61+J61+K61</f>
        <v>0</v>
      </c>
      <c s="1009"/>
      <c s="985">
        <v>0</v>
      </c>
      <c s="985">
        <v>0</v>
      </c>
      <c s="1183">
        <v>0</v>
      </c>
      <c s="1009"/>
      <c s="985"/>
      <c s="1009"/>
      <c s="985"/>
      <c s="1085"/>
      <c s="1085"/>
      <c s="985"/>
      <c s="985"/>
      <c s="1084"/>
      <c r="W61" s="1082"/>
    </row>
    <row r="62" spans="2:23" ht="27.75" customHeight="1" hidden="1">
      <c r="B62" s="956"/>
      <c s="956"/>
      <c s="956"/>
      <c s="1387" t="s">
        <v>731</v>
      </c>
      <c s="1388"/>
      <c s="985">
        <f>SUM(I62:K62)</f>
        <v>0</v>
      </c>
      <c s="1009"/>
      <c s="985">
        <f>+'REGISTROS CARGOS DEL DIA'!B7</f>
        <v>0</v>
      </c>
      <c s="985"/>
      <c s="985">
        <f>+'REGISTROS CARGOS DEL DIA'!E7</f>
        <v>0</v>
      </c>
      <c s="1009"/>
      <c s="985">
        <v>0</v>
      </c>
      <c s="1009"/>
      <c s="985"/>
      <c s="1085"/>
      <c s="1085"/>
      <c s="985"/>
      <c s="985"/>
      <c s="1084"/>
      <c r="W62" s="1082"/>
    </row>
    <row r="63" spans="2:23" ht="36.75" customHeight="1" thickBot="1">
      <c r="B63" s="1086"/>
      <c r="E63" s="1395" t="s">
        <v>127</v>
      </c>
      <c s="1402"/>
      <c s="1122">
        <f>+I63+K63+J63</f>
        <v>30352640</v>
      </c>
      <c s="1122" t="e">
        <f>H48-#REF!-#REF!-#REF!+H51</f>
        <v>#REF!</v>
      </c>
      <c s="1122">
        <f>I48-I57-I62-I52+I56-I54-I60-I51-I61+I59+I55</f>
        <v>11713075</v>
      </c>
      <c s="1122">
        <f>J48-J57-J62-J52+J56-J54-J60-J51-J61+J59+J55</f>
        <v>308800</v>
      </c>
      <c s="1122">
        <f>K48-K51-K61-K62-K60-K54+K59-K53+K55</f>
        <v>18330765</v>
      </c>
      <c s="1123"/>
      <c s="1123">
        <f>+M48+M50</f>
        <v>924950.00089999998</v>
      </c>
      <c s="1123"/>
      <c s="1123">
        <f>O48</f>
        <v>12413630</v>
      </c>
      <c s="1123">
        <f>P48</f>
        <v>7648985.5</v>
      </c>
      <c s="1123">
        <f>Q48</f>
        <v>4146475</v>
      </c>
      <c s="1123">
        <f>R48</f>
        <v>308000</v>
      </c>
      <c s="1123">
        <f>S48</f>
        <v>310169.5</v>
      </c>
      <c s="1087">
        <f>K63+M63+P63</f>
        <v>26904700.5009</v>
      </c>
      <c r="W63" s="1088">
        <f>P63</f>
        <v>7648985.5</v>
      </c>
    </row>
    <row r="64" spans="2:23" ht="14.25" customHeight="1" thickTop="1">
      <c r="B64" s="998"/>
      <c r="E64" s="1401"/>
      <c s="1401"/>
      <c s="1401"/>
      <c s="1401"/>
      <c s="1401"/>
      <c s="1401"/>
      <c s="1401"/>
      <c s="1401"/>
      <c s="1401"/>
      <c s="1401"/>
      <c s="1401"/>
      <c s="1401"/>
      <c s="1401"/>
      <c s="1401"/>
      <c s="1089"/>
      <c s="1090"/>
      <c r="W64" s="1091"/>
    </row>
    <row r="65" spans="2:23" ht="14.25" customHeight="1">
      <c r="B65" s="998"/>
      <c r="E65" s="872"/>
      <c s="1092"/>
      <c s="1092"/>
      <c s="1092"/>
      <c s="1092"/>
      <c s="1092"/>
      <c s="1092"/>
      <c s="1092"/>
      <c s="1092"/>
      <c s="1092"/>
      <c s="1092" t="s">
        <v>60</v>
      </c>
      <c s="1092"/>
      <c s="1092"/>
      <c s="1092"/>
      <c s="1089"/>
      <c s="1090"/>
      <c r="W65" s="1091"/>
    </row>
    <row r="66" spans="2:23" ht="14.25" customHeight="1">
      <c r="B66" s="998"/>
      <c r="E66" s="872"/>
      <c s="1092"/>
      <c r="H66" s="1092"/>
      <c s="1092"/>
      <c s="1092"/>
      <c s="1092"/>
      <c s="1092"/>
      <c s="1092"/>
      <c s="1092"/>
      <c s="1092"/>
      <c s="1092"/>
      <c s="1092"/>
      <c s="1092"/>
      <c s="1089"/>
      <c s="1090"/>
      <c r="W66" s="1091"/>
    </row>
    <row r="67" spans="2:23" ht="14.25" customHeight="1">
      <c r="B67" s="998"/>
      <c r="E67" s="872"/>
      <c s="1092"/>
      <c s="1092"/>
      <c s="1092"/>
      <c s="1092"/>
      <c s="1092"/>
      <c s="1092"/>
      <c s="1092"/>
      <c s="1092"/>
      <c s="1092"/>
      <c s="1092"/>
      <c s="1092"/>
      <c s="1092"/>
      <c s="1092"/>
      <c s="1089"/>
      <c s="1090"/>
      <c r="W67" s="1091"/>
    </row>
    <row r="68" spans="2:23" ht="14.25" customHeight="1">
      <c r="B68" s="998"/>
      <c r="E68" s="872"/>
      <c s="1092"/>
      <c s="1092"/>
      <c s="1092"/>
      <c s="1092"/>
      <c s="1092"/>
      <c s="1092"/>
      <c s="1092"/>
      <c s="1092"/>
      <c s="1092"/>
      <c s="1092"/>
      <c s="1092"/>
      <c s="1092"/>
      <c s="1092"/>
      <c s="1089"/>
      <c s="1090"/>
      <c r="W68" s="1091"/>
    </row>
    <row r="69" spans="2:23" ht="14.25" customHeight="1">
      <c r="B69" s="998"/>
      <c r="E69" s="872"/>
      <c s="1092"/>
      <c s="1092"/>
      <c s="1092"/>
      <c s="1092"/>
      <c s="1092"/>
      <c s="1092"/>
      <c s="1092"/>
      <c s="1092"/>
      <c s="1092"/>
      <c s="1092"/>
      <c s="1092"/>
      <c s="1092"/>
      <c s="1092"/>
      <c s="1089"/>
      <c s="1090"/>
      <c r="W69" s="1091"/>
    </row>
    <row r="70" spans="4:23" ht="14.25" customHeight="1">
      <c r="D70" s="869" t="s">
        <v>60</v>
      </c>
      <c r="F70" s="872"/>
      <c s="1089"/>
      <c s="1093"/>
      <c s="1089"/>
      <c s="1089"/>
      <c s="1089"/>
      <c s="1089"/>
      <c s="1089"/>
      <c s="1089"/>
      <c s="1089"/>
      <c s="1089"/>
      <c s="1089"/>
      <c s="1089"/>
      <c s="1089"/>
      <c s="998"/>
      <c r="W70" s="1047">
        <f>SUM(W49:W63)</f>
        <v>7648985.5</v>
      </c>
    </row>
    <row r="71" spans="7:18" ht="18">
      <c r="G71" s="1048"/>
      <c r="I71" s="998"/>
      <c s="998"/>
      <c s="1121"/>
      <c r="R71" s="998"/>
    </row>
    <row r="72" spans="5:17" ht="18.75">
      <c r="E72" s="1031"/>
      <c r="G72" s="1048"/>
      <c r="I72" s="998"/>
      <c s="998"/>
      <c s="1121"/>
      <c r="P72" s="998"/>
      <c s="998"/>
    </row>
    <row r="73" spans="1:21" s="910" customFormat="1" ht="22.5" customHeight="1">
      <c r="A73" s="1058"/>
      <c s="1058"/>
      <c s="1058"/>
      <c s="1058"/>
      <c s="1059"/>
      <c s="1094"/>
      <c s="1059"/>
      <c s="1059" t="s">
        <v>413</v>
      </c>
      <c r="J73" s="1059" t="s">
        <v>413</v>
      </c>
      <c s="1059"/>
      <c s="1095"/>
      <c s="1410"/>
      <c s="1411"/>
      <c s="1060"/>
      <c s="1059"/>
      <c s="1411" t="s">
        <v>457</v>
      </c>
      <c s="1411"/>
      <c s="1411"/>
      <c s="1059"/>
      <c s="1059"/>
    </row>
    <row r="74" spans="1:21" s="1306" customFormat="1" ht="18">
      <c r="A74" s="1061"/>
      <c s="1062"/>
      <c s="1062"/>
      <c s="1062"/>
      <c s="1304"/>
      <c s="1305"/>
      <c s="1304"/>
      <c s="1304" t="s">
        <v>330</v>
      </c>
      <c r="J74" s="1304" t="s">
        <v>493</v>
      </c>
      <c s="1064"/>
      <c s="1096"/>
      <c s="1412"/>
      <c s="1413"/>
      <c s="1307"/>
      <c s="1064"/>
      <c s="1413" t="s">
        <v>6</v>
      </c>
      <c s="1413"/>
      <c s="1413"/>
      <c s="1064"/>
      <c s="1064"/>
    </row>
    <row r="75" spans="1:21" s="1306" customFormat="1" ht="18">
      <c r="A75" s="1308"/>
      <c s="1309"/>
      <c s="1309"/>
      <c s="1309"/>
      <c s="1304"/>
      <c s="1310"/>
      <c s="1304"/>
      <c s="1304"/>
      <c r="J75" s="1304" t="s">
        <v>330</v>
      </c>
      <c s="1304"/>
      <c s="1311"/>
      <c s="1414"/>
      <c s="1415"/>
      <c r="P75" s="1116"/>
      <c s="1415" t="s">
        <v>63</v>
      </c>
      <c s="1415"/>
      <c s="1415"/>
      <c s="1304"/>
      <c s="1304"/>
    </row>
    <row r="76" spans="6:18" s="1307" customFormat="1" ht="18">
      <c r="F76" s="1312"/>
      <c r="I76" s="1312"/>
      <c r="K76" s="1312"/>
      <c r="M76" s="1312"/>
      <c r="O76" s="1313"/>
      <c r="R76" s="1312"/>
    </row>
    <row r="77" spans="6:18" s="1307" customFormat="1" ht="18">
      <c r="F77" s="1312"/>
      <c s="1092"/>
      <c r="I77" s="1312"/>
      <c r="K77" s="1312">
        <f>+K16</f>
        <v>0</v>
      </c>
      <c r="O77" s="1312"/>
      <c s="1312"/>
      <c r="R77" s="1312"/>
    </row>
    <row r="78" spans="7:13" ht="18">
      <c r="G78" s="961"/>
      <c s="870"/>
      <c s="961" t="s">
        <v>60</v>
      </c>
      <c r="M78" s="998"/>
    </row>
    <row r="79" spans="7:9" ht="18">
      <c r="G79" s="961"/>
      <c s="870"/>
      <c s="961"/>
    </row>
    <row r="80" spans="7:9" ht="18">
      <c r="G80" s="961"/>
      <c s="870"/>
      <c s="961"/>
    </row>
    <row r="81" spans="7:9" ht="18">
      <c r="G81" s="961"/>
      <c s="870"/>
      <c s="961"/>
    </row>
    <row r="82" spans="7:9" ht="18">
      <c r="G82" s="961"/>
      <c s="870"/>
      <c s="961"/>
    </row>
    <row r="83" spans="7:9" ht="18">
      <c r="G83" s="961"/>
      <c s="870"/>
      <c s="870"/>
    </row>
    <row r="84" spans="7:9" ht="18">
      <c r="G84" s="961"/>
      <c s="870"/>
      <c s="870"/>
    </row>
    <row r="85" spans="7:9" ht="18">
      <c r="G85" s="961"/>
      <c s="870"/>
      <c s="870"/>
    </row>
    <row r="86" spans="7:7" ht="12.75">
      <c r="G86" s="962"/>
    </row>
    <row r="87" spans="7:7" ht="12.75">
      <c r="G87" s="962"/>
    </row>
    <row r="88" spans="7:7" ht="12.75">
      <c r="G88" s="962"/>
    </row>
    <row r="89" spans="7:9" ht="12.75">
      <c r="G89" s="998"/>
      <c r="I89" s="962"/>
    </row>
    <row r="90" spans="9:9" ht="12.75">
      <c r="I90" s="962"/>
    </row>
    <row r="91" spans="7:9" ht="12.75">
      <c r="G91" s="998"/>
      <c r="I91" s="962"/>
    </row>
    <row r="92" spans="9:9" ht="12.75">
      <c r="I92" s="962"/>
    </row>
    <row r="93" spans="7:9" ht="12.75">
      <c r="G93" s="998"/>
      <c r="I93" s="962"/>
    </row>
    <row r="94" spans="9:9" ht="12.75">
      <c r="I94" s="962"/>
    </row>
    <row r="95" spans="7:9" ht="12.75">
      <c r="G95" s="998"/>
      <c r="I95" s="962"/>
    </row>
    <row r="96" spans="9:9" ht="12.75">
      <c r="I96" s="962"/>
    </row>
  </sheetData>
  <mergeCells count="36">
    <mergeCell ref="M73:N73"/>
    <mergeCell ref="Q73:S73"/>
    <mergeCell ref="M74:N74"/>
    <mergeCell ref="Q74:S74"/>
    <mergeCell ref="M75:N75"/>
    <mergeCell ref="Q75:S75"/>
    <mergeCell ref="T8:T9"/>
    <mergeCell ref="E60:F60"/>
    <mergeCell ref="E55:F55"/>
    <mergeCell ref="A2:T2"/>
    <mergeCell ref="A3:T3"/>
    <mergeCell ref="A5:T5"/>
    <mergeCell ref="A6:T6"/>
    <mergeCell ref="D8:D9"/>
    <mergeCell ref="A8:A9"/>
    <mergeCell ref="P8:S8"/>
    <mergeCell ref="I8:K8"/>
    <mergeCell ref="A4:T4"/>
    <mergeCell ref="E64:R64"/>
    <mergeCell ref="E63:F63"/>
    <mergeCell ref="E62:F62"/>
    <mergeCell ref="E56:F56"/>
    <mergeCell ref="E57:F57"/>
    <mergeCell ref="E58:F58"/>
    <mergeCell ref="E59:F59"/>
    <mergeCell ref="E61:F61"/>
    <mergeCell ref="E54:F54"/>
    <mergeCell ref="E53:F53"/>
    <mergeCell ref="P7:S7"/>
    <mergeCell ref="A7:M7"/>
    <mergeCell ref="C8:C9"/>
    <mergeCell ref="B8:B9"/>
    <mergeCell ref="E48:F48"/>
    <mergeCell ref="E50:F50"/>
    <mergeCell ref="E51:F51"/>
    <mergeCell ref="E52:F52"/>
  </mergeCells>
  <pageMargins left="0.669291338582677" right="0" top="0.236220472440945" bottom="0" header="0" footer="0"/>
  <pageSetup orientation="landscape" paperSize="5" scale="30" r:id="rId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5">
    <tabColor indexed="12"/>
  </sheetPr>
  <dimension ref="A1:AH140"/>
  <sheetViews>
    <sheetView zoomScale="70" zoomScaleNormal="70" zoomScaleSheetLayoutView="81" workbookViewId="0" topLeftCell="A65">
      <selection pane="topLeft" activeCell="F130" sqref="F130:H130"/>
    </sheetView>
  </sheetViews>
  <sheetFormatPr defaultRowHeight="12.75"/>
  <cols>
    <col min="1" max="1" width="10.5714285714286" style="869" customWidth="1"/>
    <col min="2" max="2" width="11" style="869" customWidth="1"/>
    <col min="3" max="4" width="11.7142857142857" style="869" customWidth="1"/>
    <col min="5" max="5" width="88" style="869" customWidth="1"/>
    <col min="6" max="6" width="17.4285714285714" style="869" customWidth="1"/>
    <col min="7" max="7" width="30.1428571428571" style="869" customWidth="1"/>
    <col min="8" max="8" width="0.142857142857143" style="869" customWidth="1"/>
    <col min="9" max="9" width="29" style="869" customWidth="1"/>
    <col min="10" max="10" width="27.4285714285714" style="869" customWidth="1"/>
    <col min="11" max="11" width="32.1428571428571" style="869" customWidth="1"/>
    <col min="12" max="12" width="0.571428571428571" style="869" customWidth="1"/>
    <col min="13" max="13" width="32.8571428571429" style="869" customWidth="1"/>
    <col min="14" max="14" width="0.571428571428571" style="869" customWidth="1"/>
    <col min="15" max="15" width="30.5714285714286" style="869" customWidth="1"/>
    <col min="16" max="16" width="34" style="869" customWidth="1"/>
    <col min="17" max="17" width="33.2857142857143" style="869" customWidth="1"/>
    <col min="18" max="18" width="28.7142857142857" style="869" customWidth="1"/>
    <col min="19" max="19" width="23.5714285714286" style="869" customWidth="1"/>
    <col min="20" max="20" width="0.285714285714286" style="869" customWidth="1"/>
    <col min="21" max="21" width="22" style="869" hidden="1" customWidth="1"/>
    <col min="22" max="22" width="39.1428571428571" style="869" customWidth="1"/>
    <col min="23" max="23" width="11.4285714285714" style="869"/>
    <col min="24" max="24" width="18" style="869" customWidth="1"/>
    <col min="25" max="25" width="34" style="869" customWidth="1"/>
    <col min="26" max="16384" width="11.4285714285714" style="869"/>
  </cols>
  <sheetData>
    <row r="1" spans="1:23" ht="54" customHeight="1">
      <c r="A1" s="868" t="s">
        <v>60</v>
      </c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  <c s="868"/>
    </row>
    <row r="2" spans="1:20" ht="30">
      <c r="A2" s="1405" t="s">
        <v>58</v>
      </c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  <c s="1405"/>
    </row>
    <row r="3" spans="1:20" ht="26.25">
      <c r="A3" s="1400" t="s">
        <v>374</v>
      </c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</row>
    <row r="4" spans="1:20" ht="26.25">
      <c r="A4" s="1400" t="s">
        <v>365</v>
      </c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  <c s="1400"/>
    </row>
    <row r="5" spans="1:20" ht="20.25">
      <c r="A5" s="1406" t="str">
        <f>'REGISTRO TRAMITES DEL DIA '!A3:J3</f>
        <v>Reportes de los Ingresos según Ley No. 36 y Resolución No. 02-05; 02-06 de los Cobros BanReservas , Caja General y SIRITE al 30/11/2024</v>
      </c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</row>
    <row r="6" spans="1:20" ht="20.25">
      <c r="A6" s="1406" t="s">
        <v>375</v>
      </c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  <c s="1406"/>
    </row>
    <row r="7" spans="1:22" ht="24" customHeight="1">
      <c r="A7" s="870"/>
      <c s="871"/>
      <c s="871"/>
      <c s="871"/>
      <c s="872"/>
      <c s="872"/>
      <c s="873"/>
      <c s="873"/>
      <c s="873"/>
      <c s="873"/>
      <c s="873"/>
      <c s="873"/>
      <c s="873"/>
      <c s="873"/>
      <c s="873"/>
      <c s="873"/>
      <c s="873"/>
      <c s="873"/>
      <c s="874"/>
      <c s="875"/>
      <c s="876"/>
      <c s="873"/>
    </row>
    <row r="8" spans="1:19" ht="17.25" customHeight="1" thickBot="1">
      <c r="A8" s="1390"/>
      <c s="1390"/>
      <c s="1390"/>
      <c s="1390"/>
      <c s="1390"/>
      <c s="1390"/>
      <c s="1390"/>
      <c s="1390"/>
      <c s="1390"/>
      <c s="1390"/>
      <c s="1390"/>
      <c s="1390"/>
      <c s="1390"/>
      <c r="P8" s="1389"/>
      <c s="1389"/>
      <c s="1389"/>
      <c s="1389"/>
    </row>
    <row r="9" spans="1:22" ht="62.25" customHeight="1" thickBot="1">
      <c r="A9" s="1407" t="s">
        <v>38</v>
      </c>
      <c s="1393" t="s">
        <v>277</v>
      </c>
      <c s="1391" t="s">
        <v>276</v>
      </c>
      <c s="1391" t="s">
        <v>307</v>
      </c>
      <c s="877"/>
      <c s="878"/>
      <c s="879"/>
      <c s="880"/>
      <c s="1397" t="s">
        <v>168</v>
      </c>
      <c s="1398"/>
      <c s="1399"/>
      <c s="881"/>
      <c s="882" t="s">
        <v>282</v>
      </c>
      <c s="883"/>
      <c s="884" t="s">
        <v>309</v>
      </c>
      <c s="1397" t="s">
        <v>308</v>
      </c>
      <c s="1398"/>
      <c s="1398"/>
      <c s="1409"/>
      <c s="1403"/>
      <c s="1403" t="s">
        <v>160</v>
      </c>
      <c s="1403" t="s">
        <v>160</v>
      </c>
    </row>
    <row r="10" spans="1:22" ht="71.25" customHeight="1" thickBot="1">
      <c r="A10" s="1408"/>
      <c s="1394"/>
      <c s="1392"/>
      <c s="1392"/>
      <c s="885" t="s">
        <v>40</v>
      </c>
      <c s="886" t="s">
        <v>157</v>
      </c>
      <c s="887" t="s">
        <v>186</v>
      </c>
      <c s="888"/>
      <c s="1099" t="s">
        <v>278</v>
      </c>
      <c s="1099" t="s">
        <v>279</v>
      </c>
      <c s="1099" t="s">
        <v>280</v>
      </c>
      <c s="889"/>
      <c s="1099" t="s">
        <v>281</v>
      </c>
      <c s="889"/>
      <c s="1099" t="s">
        <v>172</v>
      </c>
      <c s="1099" t="s">
        <v>281</v>
      </c>
      <c s="1099" t="s">
        <v>278</v>
      </c>
      <c s="1099" t="s">
        <v>279</v>
      </c>
      <c s="890" t="s">
        <v>456</v>
      </c>
      <c s="1404"/>
      <c s="1404"/>
      <c s="1404"/>
    </row>
    <row r="11" spans="1:22" s="871" customFormat="1" ht="30" customHeight="1" thickBot="1">
      <c r="A11" s="891" t="s">
        <v>42</v>
      </c>
      <c s="892">
        <f>'REGISTRO TRAMITES DEL DIA '!B19</f>
        <v>21</v>
      </c>
      <c s="892">
        <v>0</v>
      </c>
      <c s="892">
        <f>'REGISTRO TRAMITES DEL DIA '!B30</f>
        <v>0</v>
      </c>
      <c s="893" t="s">
        <v>0</v>
      </c>
      <c s="894">
        <v>6240</v>
      </c>
      <c s="895">
        <f>B11*F11</f>
        <v>131040</v>
      </c>
      <c s="896"/>
      <c s="897">
        <f>B11*2200</f>
        <v>46200</v>
      </c>
      <c s="897">
        <f>B11*800</f>
        <v>16800</v>
      </c>
      <c s="897">
        <f>G11-I11-J11</f>
        <v>68040</v>
      </c>
      <c s="896"/>
      <c s="897"/>
      <c s="896"/>
      <c s="898">
        <f>D11*F11</f>
        <v>0</v>
      </c>
      <c s="899">
        <f>+O11-Q11-R11-S11</f>
        <v>0</v>
      </c>
      <c s="897">
        <f>D11*2200</f>
        <v>0</v>
      </c>
      <c s="897">
        <f>D11*800</f>
        <v>0</v>
      </c>
      <c s="900">
        <f>+O11*2.5%</f>
        <v>0</v>
      </c>
      <c s="901"/>
      <c s="901"/>
      <c s="901">
        <f>+K11+M11+P11</f>
        <v>68040</v>
      </c>
    </row>
    <row r="12" spans="1:22" s="871" customFormat="1" ht="30" customHeight="1" thickBot="1">
      <c r="A12" s="891" t="s">
        <v>43</v>
      </c>
      <c s="892">
        <f>'REGISTRO TRAMITES DEL DIA '!C19</f>
        <v>97</v>
      </c>
      <c s="892">
        <v>0</v>
      </c>
      <c s="892">
        <f>'REGISTRO TRAMITES DEL DIA '!C30</f>
        <v>210</v>
      </c>
      <c s="902" t="s">
        <v>613</v>
      </c>
      <c s="894">
        <v>11240</v>
      </c>
      <c s="903">
        <f>B12*F12</f>
        <v>1090280</v>
      </c>
      <c s="896"/>
      <c s="897">
        <f>B12*2200</f>
        <v>213400</v>
      </c>
      <c s="897">
        <f>B12*800</f>
        <v>77600</v>
      </c>
      <c s="897">
        <f t="shared" si="0" ref="K12:K28">G12-I12-J12</f>
        <v>799280</v>
      </c>
      <c s="896"/>
      <c s="897"/>
      <c s="896"/>
      <c s="898">
        <f t="shared" si="1" ref="O12:O48">D12*F12</f>
        <v>2360400</v>
      </c>
      <c s="899">
        <f t="shared" si="2" ref="P12:P48">+O12-Q12-R12-S12</f>
        <v>1671390</v>
      </c>
      <c s="897">
        <f>D12*2200</f>
        <v>462000</v>
      </c>
      <c s="897">
        <f>D12*800</f>
        <v>168000</v>
      </c>
      <c s="900">
        <f t="shared" si="3" ref="S12:S48">+O12*2.5%</f>
        <v>59010</v>
      </c>
      <c s="901"/>
      <c s="901"/>
      <c s="901">
        <f t="shared" si="4" ref="V12:V48">+K12+M12+P12</f>
        <v>2470670</v>
      </c>
    </row>
    <row r="13" spans="1:22" s="871" customFormat="1" ht="30" customHeight="1" thickBot="1">
      <c r="A13" s="891" t="s">
        <v>45</v>
      </c>
      <c s="892">
        <f>'REGISTRO TRAMITES DEL DIA '!D19</f>
        <v>4830</v>
      </c>
      <c s="892">
        <v>0</v>
      </c>
      <c s="892">
        <f>'REGISTRO TRAMITES DEL DIA '!D30</f>
        <v>1233</v>
      </c>
      <c s="902" t="s">
        <v>614</v>
      </c>
      <c s="894">
        <v>4940</v>
      </c>
      <c s="903">
        <f t="shared" si="5" ref="G13:G28">B13*F13</f>
        <v>23860200</v>
      </c>
      <c s="896"/>
      <c s="897">
        <f>B13*2200</f>
        <v>10626000</v>
      </c>
      <c s="897"/>
      <c s="897">
        <f t="shared" si="0"/>
        <v>13234200</v>
      </c>
      <c s="896"/>
      <c s="897"/>
      <c s="896"/>
      <c s="898">
        <f t="shared" si="1"/>
        <v>6091020</v>
      </c>
      <c s="899">
        <f t="shared" si="2"/>
        <v>3226144.5</v>
      </c>
      <c s="897">
        <f>D13*2200</f>
        <v>2712600</v>
      </c>
      <c s="897"/>
      <c s="900">
        <f t="shared" si="3"/>
        <v>152275.5</v>
      </c>
      <c s="901"/>
      <c s="901"/>
      <c s="901">
        <f t="shared" si="4"/>
        <v>16460344.5</v>
      </c>
    </row>
    <row r="14" spans="1:22" s="871" customFormat="1" ht="55.5" customHeight="1" thickBot="1">
      <c r="A14" s="891" t="s">
        <v>47</v>
      </c>
      <c s="892">
        <f>'REGISTRO TRAMITES DEL DIA '!E19</f>
        <v>0</v>
      </c>
      <c s="892">
        <v>0</v>
      </c>
      <c s="892">
        <f>'REGISTRO TRAMITES DEL DIA '!E30</f>
        <v>0</v>
      </c>
      <c s="902" t="s">
        <v>615</v>
      </c>
      <c s="894">
        <v>4615</v>
      </c>
      <c s="903">
        <f t="shared" si="5"/>
        <v>0</v>
      </c>
      <c s="896"/>
      <c s="897">
        <f>B14*2075</f>
        <v>0</v>
      </c>
      <c s="897">
        <f>B14*800</f>
        <v>0</v>
      </c>
      <c s="897">
        <f t="shared" si="0"/>
        <v>0</v>
      </c>
      <c s="896"/>
      <c s="897"/>
      <c s="896"/>
      <c s="898">
        <f t="shared" si="1"/>
        <v>0</v>
      </c>
      <c s="899">
        <f t="shared" si="2"/>
        <v>0</v>
      </c>
      <c s="897">
        <f>+D14*2075</f>
        <v>0</v>
      </c>
      <c s="897"/>
      <c s="900">
        <f t="shared" si="3"/>
        <v>0</v>
      </c>
      <c s="901"/>
      <c s="901"/>
      <c s="901">
        <f t="shared" si="4"/>
        <v>0</v>
      </c>
    </row>
    <row r="15" spans="1:22" s="871" customFormat="1" ht="42.75" customHeight="1" thickBot="1">
      <c r="A15" s="891" t="s">
        <v>49</v>
      </c>
      <c s="892">
        <f>'REGISTRO TRAMITES DEL DIA '!G19</f>
        <v>1</v>
      </c>
      <c s="892">
        <v>0</v>
      </c>
      <c s="892">
        <f>'REGISTRO TRAMITES DEL DIA '!G30</f>
        <v>0</v>
      </c>
      <c s="902" t="s">
        <v>616</v>
      </c>
      <c s="894">
        <v>2840</v>
      </c>
      <c s="903">
        <f t="shared" si="5"/>
        <v>2840</v>
      </c>
      <c s="896"/>
      <c s="897"/>
      <c s="897">
        <f>B15*800</f>
        <v>800</v>
      </c>
      <c s="897">
        <f t="shared" si="0"/>
        <v>2040</v>
      </c>
      <c s="896"/>
      <c s="897"/>
      <c s="896"/>
      <c s="898">
        <f t="shared" si="1"/>
        <v>0</v>
      </c>
      <c s="899">
        <f t="shared" si="2"/>
        <v>0</v>
      </c>
      <c s="897"/>
      <c s="904"/>
      <c s="900">
        <f t="shared" si="3"/>
        <v>0</v>
      </c>
      <c s="901"/>
      <c s="901"/>
      <c s="901">
        <f t="shared" si="4"/>
        <v>2040</v>
      </c>
    </row>
    <row r="16" spans="1:22" s="871" customFormat="1" ht="30" customHeight="1" thickBot="1">
      <c r="A16" s="891" t="s">
        <v>51</v>
      </c>
      <c s="892">
        <f>'REGISTRO TRAMITES DEL DIA '!H19</f>
        <v>19</v>
      </c>
      <c s="892">
        <v>0</v>
      </c>
      <c s="892">
        <f>'REGISTRO TRAMITES DEL DIA '!H30</f>
        <v>4</v>
      </c>
      <c s="902" t="s">
        <v>1</v>
      </c>
      <c s="894">
        <v>500</v>
      </c>
      <c s="903">
        <f t="shared" si="5"/>
        <v>9500</v>
      </c>
      <c s="896"/>
      <c s="897"/>
      <c s="897"/>
      <c s="897">
        <f t="shared" si="0"/>
        <v>9500</v>
      </c>
      <c s="896"/>
      <c s="905"/>
      <c s="906"/>
      <c s="898">
        <f t="shared" si="1"/>
        <v>2000</v>
      </c>
      <c s="899">
        <f t="shared" si="2"/>
        <v>1950</v>
      </c>
      <c s="897"/>
      <c s="897"/>
      <c s="900">
        <f t="shared" si="3"/>
        <v>50</v>
      </c>
      <c s="901"/>
      <c s="901"/>
      <c s="901">
        <f t="shared" si="4"/>
        <v>11450</v>
      </c>
    </row>
    <row r="17" spans="1:22" s="871" customFormat="1" ht="39" customHeight="1" thickBot="1">
      <c r="A17" s="891" t="s">
        <v>52</v>
      </c>
      <c s="892">
        <f>'REGISTRO TRAMITES DEL DIA '!F19</f>
        <v>0</v>
      </c>
      <c s="892">
        <v>0</v>
      </c>
      <c s="892">
        <f>'REGISTRO TRAMITES DEL DIA '!F30</f>
        <v>0</v>
      </c>
      <c s="902" t="s">
        <v>617</v>
      </c>
      <c s="894">
        <v>2840</v>
      </c>
      <c s="903">
        <f t="shared" si="5"/>
        <v>0</v>
      </c>
      <c s="896"/>
      <c s="897"/>
      <c s="897"/>
      <c s="897">
        <f t="shared" si="0"/>
        <v>0</v>
      </c>
      <c s="896"/>
      <c s="905"/>
      <c s="906"/>
      <c s="898">
        <f t="shared" si="1"/>
        <v>0</v>
      </c>
      <c s="899">
        <f t="shared" si="2"/>
        <v>0</v>
      </c>
      <c s="897"/>
      <c s="897"/>
      <c s="900">
        <f t="shared" si="3"/>
        <v>0</v>
      </c>
      <c s="901"/>
      <c s="901"/>
      <c s="901">
        <f t="shared" si="4"/>
        <v>0</v>
      </c>
    </row>
    <row r="18" spans="1:22" s="871" customFormat="1" ht="30" customHeight="1" thickBot="1">
      <c r="A18" s="891" t="s">
        <v>54</v>
      </c>
      <c s="892">
        <f>'REGISTRO TRAMITES DEL DIA '!I19</f>
        <v>66</v>
      </c>
      <c s="892">
        <v>0</v>
      </c>
      <c s="892">
        <f>'REGISTRO TRAMITES DEL DIA '!I30</f>
        <v>17</v>
      </c>
      <c s="902" t="s">
        <v>3</v>
      </c>
      <c s="894">
        <v>700</v>
      </c>
      <c s="903">
        <f t="shared" si="5"/>
        <v>46200</v>
      </c>
      <c s="896"/>
      <c s="897"/>
      <c s="897"/>
      <c s="897">
        <f t="shared" si="0"/>
        <v>46200</v>
      </c>
      <c s="896"/>
      <c s="905"/>
      <c s="906"/>
      <c s="898">
        <f t="shared" si="1"/>
        <v>11900</v>
      </c>
      <c s="899">
        <f t="shared" si="2"/>
        <v>11602.5</v>
      </c>
      <c s="897"/>
      <c s="897"/>
      <c s="900">
        <f t="shared" si="3"/>
        <v>297.5</v>
      </c>
      <c s="901"/>
      <c s="901"/>
      <c s="901">
        <f t="shared" si="4"/>
        <v>57802.5</v>
      </c>
    </row>
    <row r="19" spans="1:22" s="871" customFormat="1" ht="30" customHeight="1" thickBot="1">
      <c r="A19" s="891" t="s">
        <v>55</v>
      </c>
      <c s="892">
        <f>'REGISTRO TRAMITES DEL DIA '!J19</f>
        <v>4338</v>
      </c>
      <c s="892">
        <v>0</v>
      </c>
      <c s="892">
        <f>'REGISTRO TRAMITES DEL DIA '!J30</f>
        <v>943</v>
      </c>
      <c s="907" t="s">
        <v>138</v>
      </c>
      <c s="894">
        <v>700</v>
      </c>
      <c s="903">
        <f t="shared" si="5"/>
        <v>3036600</v>
      </c>
      <c s="896"/>
      <c s="897"/>
      <c s="897"/>
      <c s="897">
        <f t="shared" si="0"/>
        <v>3036600</v>
      </c>
      <c s="896"/>
      <c s="905"/>
      <c s="906"/>
      <c s="898">
        <f t="shared" si="1"/>
        <v>660100</v>
      </c>
      <c s="899">
        <f t="shared" si="2"/>
        <v>643597.5</v>
      </c>
      <c s="897"/>
      <c s="897"/>
      <c s="900">
        <f t="shared" si="3"/>
        <v>16502.5</v>
      </c>
      <c s="901"/>
      <c s="901"/>
      <c s="901">
        <f t="shared" si="4"/>
        <v>3680197.5</v>
      </c>
    </row>
    <row r="20" spans="1:22" s="910" customFormat="1" ht="30" customHeight="1" thickBot="1">
      <c r="A20" s="891" t="s">
        <v>133</v>
      </c>
      <c s="892">
        <f>'REGISTRO TRAMITES DEL DIA '!K19</f>
        <v>2</v>
      </c>
      <c s="892">
        <v>0</v>
      </c>
      <c s="892">
        <f>'REGISTRO TRAMITES DEL DIA '!K30</f>
        <v>1</v>
      </c>
      <c s="907" t="s">
        <v>139</v>
      </c>
      <c s="908">
        <v>4615</v>
      </c>
      <c s="903">
        <f t="shared" si="5"/>
        <v>9230</v>
      </c>
      <c s="896"/>
      <c s="897">
        <f>B20*2075</f>
        <v>4150</v>
      </c>
      <c s="897">
        <f>B20*800</f>
        <v>1600</v>
      </c>
      <c s="897">
        <f t="shared" si="0"/>
        <v>3480</v>
      </c>
      <c s="896"/>
      <c s="909"/>
      <c s="906"/>
      <c s="898">
        <f t="shared" si="1"/>
        <v>4615</v>
      </c>
      <c s="899">
        <f t="shared" si="2"/>
        <v>1624.625</v>
      </c>
      <c s="897">
        <f>D20*2075</f>
        <v>2075</v>
      </c>
      <c s="897">
        <f>D20*800</f>
        <v>800</v>
      </c>
      <c s="900">
        <f t="shared" si="3"/>
        <v>115.375</v>
      </c>
      <c s="901"/>
      <c s="901"/>
      <c s="901">
        <f t="shared" si="4"/>
        <v>5104.625</v>
      </c>
    </row>
    <row r="21" spans="1:22" s="910" customFormat="1" ht="30" customHeight="1" thickBot="1">
      <c r="A21" s="891" t="s">
        <v>134</v>
      </c>
      <c s="892">
        <f>'REGISTRO TRAMITES DEL DIA '!L19</f>
        <v>32</v>
      </c>
      <c s="892">
        <v>0</v>
      </c>
      <c s="892">
        <f>'REGISTRO TRAMITES DEL DIA '!L30</f>
        <v>53</v>
      </c>
      <c s="907" t="s">
        <v>140</v>
      </c>
      <c s="908">
        <v>4615</v>
      </c>
      <c s="903">
        <f t="shared" si="5"/>
        <v>147680</v>
      </c>
      <c s="896"/>
      <c s="897">
        <f>B21*2075</f>
        <v>66400</v>
      </c>
      <c s="897">
        <f>B21*800</f>
        <v>25600</v>
      </c>
      <c s="897">
        <f t="shared" si="0"/>
        <v>55680</v>
      </c>
      <c s="896"/>
      <c s="909"/>
      <c s="906"/>
      <c s="898">
        <f t="shared" si="1"/>
        <v>244595</v>
      </c>
      <c s="899">
        <f t="shared" si="2"/>
        <v>86105.125</v>
      </c>
      <c s="897">
        <f>D21*2075</f>
        <v>109975</v>
      </c>
      <c s="897">
        <f>D21*800</f>
        <v>42400</v>
      </c>
      <c s="900">
        <f t="shared" si="3"/>
        <v>6114.875</v>
      </c>
      <c s="901"/>
      <c s="901"/>
      <c s="901">
        <f t="shared" si="4"/>
        <v>141785.125</v>
      </c>
    </row>
    <row r="22" spans="1:22" s="910" customFormat="1" ht="30" customHeight="1" thickBot="1">
      <c r="A22" s="891" t="s">
        <v>135</v>
      </c>
      <c s="892">
        <f>'REGISTRO TRAMITES DEL DIA '!M19</f>
        <v>13</v>
      </c>
      <c s="892">
        <v>0</v>
      </c>
      <c s="892">
        <f>'REGISTRO TRAMITES DEL DIA '!M30</f>
        <v>0</v>
      </c>
      <c s="907" t="s">
        <v>141</v>
      </c>
      <c s="908">
        <v>4615</v>
      </c>
      <c s="903">
        <f t="shared" si="5"/>
        <v>59995</v>
      </c>
      <c s="896"/>
      <c s="897">
        <f>B22*2075</f>
        <v>26975</v>
      </c>
      <c s="897">
        <f>B22*800</f>
        <v>10400</v>
      </c>
      <c s="897">
        <f t="shared" si="0"/>
        <v>22620</v>
      </c>
      <c s="896"/>
      <c s="909"/>
      <c s="906"/>
      <c s="898">
        <f t="shared" si="1"/>
        <v>0</v>
      </c>
      <c s="899">
        <f t="shared" si="2"/>
        <v>0</v>
      </c>
      <c s="897">
        <f>D22*2075</f>
        <v>0</v>
      </c>
      <c s="897">
        <f>D22*800</f>
        <v>0</v>
      </c>
      <c s="900">
        <f t="shared" si="3"/>
        <v>0</v>
      </c>
      <c s="901"/>
      <c s="901"/>
      <c s="901">
        <f t="shared" si="4"/>
        <v>22620</v>
      </c>
    </row>
    <row r="23" spans="1:22" s="910" customFormat="1" ht="30" customHeight="1" thickBot="1">
      <c r="A23" s="891" t="s">
        <v>136</v>
      </c>
      <c s="892">
        <f>'REGISTRO TRAMITES DEL DIA '!N19</f>
        <v>69</v>
      </c>
      <c s="892">
        <v>0</v>
      </c>
      <c s="892">
        <f>'REGISTRO TRAMITES DEL DIA '!N30</f>
        <v>55</v>
      </c>
      <c s="907" t="s">
        <v>142</v>
      </c>
      <c s="908">
        <v>700</v>
      </c>
      <c s="903">
        <f t="shared" si="5"/>
        <v>48300</v>
      </c>
      <c s="896"/>
      <c s="897"/>
      <c s="897"/>
      <c s="897">
        <f t="shared" si="0"/>
        <v>48300</v>
      </c>
      <c s="896"/>
      <c s="909"/>
      <c s="906"/>
      <c s="898">
        <f t="shared" si="1"/>
        <v>38500</v>
      </c>
      <c s="899">
        <f t="shared" si="2"/>
        <v>37537.5</v>
      </c>
      <c s="897"/>
      <c s="897"/>
      <c s="900">
        <f t="shared" si="3"/>
        <v>962.5</v>
      </c>
      <c s="901"/>
      <c s="901"/>
      <c s="901">
        <f t="shared" si="4"/>
        <v>85837.5</v>
      </c>
    </row>
    <row r="24" spans="1:22" s="910" customFormat="1" ht="30" customHeight="1" thickBot="1">
      <c r="A24" s="891" t="s">
        <v>137</v>
      </c>
      <c s="892">
        <f>'REGISTRO TRAMITES DEL DIA '!O19</f>
        <v>0</v>
      </c>
      <c s="892">
        <v>0</v>
      </c>
      <c s="892">
        <f>'REGISTRO TRAMITES DEL DIA '!O30</f>
        <v>0</v>
      </c>
      <c s="907" t="s">
        <v>143</v>
      </c>
      <c s="908">
        <v>6240</v>
      </c>
      <c s="903">
        <f t="shared" si="5"/>
        <v>0</v>
      </c>
      <c s="896"/>
      <c s="897">
        <f>B24*2200</f>
        <v>0</v>
      </c>
      <c s="897">
        <f>B24*800</f>
        <v>0</v>
      </c>
      <c s="897">
        <f t="shared" si="0"/>
        <v>0</v>
      </c>
      <c s="896"/>
      <c s="909"/>
      <c s="906"/>
      <c s="898">
        <f t="shared" si="1"/>
        <v>0</v>
      </c>
      <c s="899">
        <f t="shared" si="2"/>
        <v>0</v>
      </c>
      <c s="897">
        <f>D24*2200</f>
        <v>0</v>
      </c>
      <c s="897"/>
      <c s="900">
        <f t="shared" si="3"/>
        <v>0</v>
      </c>
      <c s="901"/>
      <c s="901"/>
      <c s="901">
        <f t="shared" si="4"/>
        <v>0</v>
      </c>
    </row>
    <row r="25" spans="1:22" s="910" customFormat="1" ht="30" customHeight="1" thickBot="1">
      <c r="A25" s="891" t="s">
        <v>244</v>
      </c>
      <c s="892"/>
      <c s="892">
        <v>0</v>
      </c>
      <c s="892">
        <f>+'OAI '!D24</f>
        <v>3089</v>
      </c>
      <c s="907" t="s">
        <v>245</v>
      </c>
      <c s="908">
        <v>105</v>
      </c>
      <c s="903">
        <f t="shared" si="5"/>
        <v>0</v>
      </c>
      <c s="896"/>
      <c s="897"/>
      <c s="897"/>
      <c s="897">
        <f t="shared" si="0"/>
        <v>0</v>
      </c>
      <c s="896"/>
      <c s="909"/>
      <c s="906"/>
      <c s="898">
        <f t="shared" si="1"/>
        <v>324345</v>
      </c>
      <c s="899">
        <f t="shared" si="2"/>
        <v>316236.375</v>
      </c>
      <c s="897"/>
      <c s="897"/>
      <c s="900">
        <f t="shared" si="3"/>
        <v>8108.625</v>
      </c>
      <c s="901"/>
      <c s="901"/>
      <c s="901">
        <f t="shared" si="4"/>
        <v>316236.375</v>
      </c>
    </row>
    <row r="26" spans="1:22" s="910" customFormat="1" ht="39" customHeight="1" thickBot="1">
      <c r="A26" s="911" t="s">
        <v>248</v>
      </c>
      <c s="912">
        <v>0</v>
      </c>
      <c s="912">
        <f>'REGISTRO TRAMITES DEL DIA '!G60</f>
        <v>93</v>
      </c>
      <c s="912">
        <f>'REGISTRO TRAMITES DEL DIA '!J60</f>
        <v>0</v>
      </c>
      <c s="913" t="s">
        <v>249</v>
      </c>
      <c s="914">
        <f>'REGISTRO TRAMITES DEL DIA '!H60</f>
        <v>5000</v>
      </c>
      <c s="903">
        <f t="shared" si="5"/>
        <v>0</v>
      </c>
      <c s="915"/>
      <c s="916"/>
      <c s="916"/>
      <c s="897">
        <f t="shared" si="0"/>
        <v>0</v>
      </c>
      <c s="915"/>
      <c s="916">
        <f>C26*F26</f>
        <v>465000</v>
      </c>
      <c s="917"/>
      <c s="898">
        <f t="shared" si="1"/>
        <v>0</v>
      </c>
      <c s="899">
        <f t="shared" si="2"/>
        <v>0</v>
      </c>
      <c s="897"/>
      <c s="918">
        <v>0</v>
      </c>
      <c s="900">
        <f t="shared" si="3"/>
        <v>0</v>
      </c>
      <c s="901"/>
      <c s="901"/>
      <c s="901">
        <f t="shared" si="4"/>
        <v>465000</v>
      </c>
    </row>
    <row r="27" spans="1:22" s="910" customFormat="1" ht="30" customHeight="1" thickBot="1">
      <c r="A27" s="919" t="s">
        <v>250</v>
      </c>
      <c s="920">
        <v>0</v>
      </c>
      <c s="912">
        <f>'REGISTRO TRAMITES DEL DIA '!G61</f>
        <v>15</v>
      </c>
      <c s="912">
        <f>'REGISTRO TRAMITES DEL DIA '!J61</f>
        <v>0</v>
      </c>
      <c s="921" t="s">
        <v>251</v>
      </c>
      <c s="914">
        <f>'REGISTRO TRAMITES DEL DIA '!H61</f>
        <v>1500</v>
      </c>
      <c s="903">
        <f t="shared" si="5"/>
        <v>0</v>
      </c>
      <c s="915"/>
      <c s="922">
        <f>B27*2200</f>
        <v>0</v>
      </c>
      <c s="922">
        <f>B27*800</f>
        <v>0</v>
      </c>
      <c s="897">
        <f t="shared" si="0"/>
        <v>0</v>
      </c>
      <c s="915"/>
      <c s="916">
        <f t="shared" si="6" ref="M27:M47">C27*F27</f>
        <v>22500</v>
      </c>
      <c s="917"/>
      <c s="898">
        <f t="shared" si="1"/>
        <v>0</v>
      </c>
      <c s="899">
        <f>+O27-Q27-R27-S27</f>
        <v>0</v>
      </c>
      <c s="897"/>
      <c s="922">
        <v>0</v>
      </c>
      <c s="900">
        <f t="shared" si="3"/>
        <v>0</v>
      </c>
      <c s="901"/>
      <c s="901"/>
      <c s="901">
        <f t="shared" si="4"/>
        <v>22500</v>
      </c>
    </row>
    <row r="28" spans="1:22" s="910" customFormat="1" ht="30" customHeight="1" thickBot="1">
      <c r="A28" s="919" t="s">
        <v>252</v>
      </c>
      <c s="912">
        <v>0</v>
      </c>
      <c s="912">
        <f>'REGISTRO TRAMITES DEL DIA '!G62</f>
        <v>13</v>
      </c>
      <c s="912">
        <f>'REGISTRO TRAMITES DEL DIA '!J62</f>
        <v>0</v>
      </c>
      <c s="923" t="s">
        <v>253</v>
      </c>
      <c s="914">
        <f>'REGISTRO TRAMITES DEL DIA '!H62</f>
        <v>1500</v>
      </c>
      <c s="903">
        <f t="shared" si="5"/>
        <v>0</v>
      </c>
      <c s="915"/>
      <c s="916">
        <f>B28*2200</f>
        <v>0</v>
      </c>
      <c s="916">
        <f>B28*800</f>
        <v>0</v>
      </c>
      <c s="897">
        <f t="shared" si="0"/>
        <v>0</v>
      </c>
      <c s="915"/>
      <c s="916">
        <f t="shared" si="6"/>
        <v>19500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19500</v>
      </c>
    </row>
    <row r="29" spans="1:22" s="910" customFormat="1" ht="30" customHeight="1" thickBot="1">
      <c r="A29" s="919" t="s">
        <v>314</v>
      </c>
      <c s="912">
        <v>0</v>
      </c>
      <c s="912">
        <f>'REGISTRO TRAMITES DEL DIA '!G63</f>
        <v>0</v>
      </c>
      <c s="912">
        <f>'REGISTRO TRAMITES DEL DIA '!J63</f>
        <v>0</v>
      </c>
      <c s="923" t="s">
        <v>315</v>
      </c>
      <c s="914">
        <f>'REGISTRO TRAMITES DEL DIA '!H63</f>
        <v>1500</v>
      </c>
      <c s="924"/>
      <c s="915"/>
      <c s="916"/>
      <c s="916"/>
      <c s="916"/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/>
      <c s="900">
        <f t="shared" si="3"/>
        <v>0</v>
      </c>
      <c s="901"/>
      <c s="901"/>
      <c s="901">
        <f t="shared" si="4"/>
        <v>0</v>
      </c>
    </row>
    <row r="30" spans="1:22" s="910" customFormat="1" ht="30" customHeight="1" thickBot="1">
      <c r="A30" s="911" t="s">
        <v>298</v>
      </c>
      <c s="920">
        <v>0</v>
      </c>
      <c s="912">
        <f>'REGISTRO TRAMITES DEL DIA '!G64</f>
        <v>0</v>
      </c>
      <c s="912">
        <f>'REGISTRO TRAMITES DEL DIA '!J64</f>
        <v>0</v>
      </c>
      <c s="925" t="s">
        <v>299</v>
      </c>
      <c s="914">
        <f>'REGISTRO TRAMITES DEL DIA '!H64</f>
        <v>1500</v>
      </c>
      <c s="924"/>
      <c s="915"/>
      <c s="916"/>
      <c s="916"/>
      <c s="916"/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/>
      <c s="900">
        <f t="shared" si="3"/>
        <v>0</v>
      </c>
      <c s="901"/>
      <c s="901"/>
      <c s="901">
        <f t="shared" si="4"/>
        <v>0</v>
      </c>
    </row>
    <row r="31" spans="1:22" s="910" customFormat="1" ht="30" customHeight="1" thickBot="1">
      <c r="A31" s="911" t="s">
        <v>323</v>
      </c>
      <c s="920">
        <v>0</v>
      </c>
      <c s="912">
        <f>'REGISTRO TRAMITES DEL DIA '!G65</f>
        <v>0</v>
      </c>
      <c s="912">
        <f>'REGISTRO TRAMITES DEL DIA '!J65</f>
        <v>0</v>
      </c>
      <c s="926" t="s">
        <v>391</v>
      </c>
      <c s="914">
        <f>'REGISTRO TRAMITES DEL DIA '!H65</f>
        <v>3000</v>
      </c>
      <c s="924"/>
      <c s="915"/>
      <c s="916"/>
      <c s="916"/>
      <c s="916"/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/>
      <c s="900">
        <f t="shared" si="3"/>
        <v>0</v>
      </c>
      <c s="901"/>
      <c s="901"/>
      <c s="901">
        <f t="shared" si="4"/>
        <v>0</v>
      </c>
    </row>
    <row r="32" spans="1:22" s="910" customFormat="1" ht="30" customHeight="1" thickBot="1">
      <c r="A32" s="911" t="s">
        <v>325</v>
      </c>
      <c s="920">
        <v>0</v>
      </c>
      <c s="912">
        <f>'REGISTRO TRAMITES DEL DIA '!G66</f>
        <v>0</v>
      </c>
      <c s="912">
        <f>'REGISTRO TRAMITES DEL DIA '!J66</f>
        <v>0</v>
      </c>
      <c s="926" t="s">
        <v>392</v>
      </c>
      <c s="914">
        <f>'REGISTRO TRAMITES DEL DIA '!H66</f>
        <v>5000</v>
      </c>
      <c s="924"/>
      <c s="915"/>
      <c s="916"/>
      <c s="916"/>
      <c s="916"/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/>
      <c s="900">
        <f t="shared" si="3"/>
        <v>0</v>
      </c>
      <c s="901"/>
      <c s="901"/>
      <c s="901">
        <f t="shared" si="4"/>
        <v>0</v>
      </c>
    </row>
    <row r="33" spans="1:22" s="910" customFormat="1" ht="19.5" thickBot="1">
      <c r="A33" s="919" t="s">
        <v>319</v>
      </c>
      <c s="912">
        <v>0</v>
      </c>
      <c s="912">
        <f>'REGISTRO TRAMITES DEL DIA '!G67</f>
        <v>1</v>
      </c>
      <c s="912">
        <f>'REGISTRO TRAMITES DEL DIA '!J67</f>
        <v>0</v>
      </c>
      <c s="923" t="s">
        <v>320</v>
      </c>
      <c s="914">
        <f>'REGISTRO TRAMITES DEL DIA '!H67</f>
        <v>1000</v>
      </c>
      <c s="924">
        <f>B33*F33</f>
        <v>0</v>
      </c>
      <c s="915"/>
      <c s="916">
        <f>B33*2200</f>
        <v>0</v>
      </c>
      <c s="916"/>
      <c s="916">
        <f>G33-I33-J33</f>
        <v>0</v>
      </c>
      <c s="915"/>
      <c s="916">
        <f t="shared" si="6"/>
        <v>1000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1000</v>
      </c>
    </row>
    <row r="34" spans="1:22" s="910" customFormat="1" ht="30" customHeight="1" thickBot="1">
      <c r="A34" s="919" t="s">
        <v>254</v>
      </c>
      <c s="912">
        <v>0</v>
      </c>
      <c s="912">
        <f>'REGISTRO TRAMITES DEL DIA '!G68</f>
        <v>36</v>
      </c>
      <c s="912">
        <f>+'OAI '!D33</f>
        <v>137</v>
      </c>
      <c s="923" t="s">
        <v>255</v>
      </c>
      <c s="914">
        <f>'REGISTRO TRAMITES DEL DIA '!H68</f>
        <v>50</v>
      </c>
      <c s="924">
        <f>B34*F34</f>
        <v>0</v>
      </c>
      <c s="915"/>
      <c s="916">
        <f>B34*2200</f>
        <v>0</v>
      </c>
      <c s="916"/>
      <c s="916">
        <f t="shared" si="7" ref="K34:K47">G34-I34-J34</f>
        <v>0</v>
      </c>
      <c s="915"/>
      <c s="916">
        <f t="shared" si="6"/>
        <v>1800</v>
      </c>
      <c s="917"/>
      <c s="898">
        <f t="shared" si="1"/>
        <v>6850</v>
      </c>
      <c s="899">
        <f t="shared" si="2"/>
        <v>6850</v>
      </c>
      <c s="897"/>
      <c s="916">
        <v>0</v>
      </c>
      <c s="900">
        <v>0</v>
      </c>
      <c s="901"/>
      <c s="901"/>
      <c s="901">
        <f t="shared" si="4"/>
        <v>8650</v>
      </c>
    </row>
    <row r="35" spans="1:22" s="910" customFormat="1" ht="30" customHeight="1" thickBot="1">
      <c r="A35" s="919" t="s">
        <v>256</v>
      </c>
      <c s="912">
        <v>0</v>
      </c>
      <c s="912">
        <f>'REGISTRO TRAMITES DEL DIA '!G69</f>
        <v>44</v>
      </c>
      <c s="912">
        <f>'REGISTRO TRAMITES DEL DIA '!J69</f>
        <v>0</v>
      </c>
      <c s="923" t="s">
        <v>257</v>
      </c>
      <c s="914">
        <f>'REGISTRO TRAMITES DEL DIA '!H69</f>
        <v>1000</v>
      </c>
      <c s="924">
        <f t="shared" si="8" ref="G35:G48">B35*F35</f>
        <v>0</v>
      </c>
      <c s="915"/>
      <c s="916">
        <f t="shared" si="9" ref="I35:I46">B35*2200</f>
        <v>0</v>
      </c>
      <c s="916"/>
      <c s="916">
        <f t="shared" si="7"/>
        <v>0</v>
      </c>
      <c s="915"/>
      <c s="916">
        <f t="shared" si="6"/>
        <v>44000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44000</v>
      </c>
    </row>
    <row r="36" spans="1:22" s="910" customFormat="1" ht="37.5" customHeight="1" thickBot="1">
      <c r="A36" s="919" t="s">
        <v>258</v>
      </c>
      <c s="912">
        <v>0</v>
      </c>
      <c s="912">
        <f>'REGISTRO TRAMITES DEL DIA '!G70</f>
        <v>0</v>
      </c>
      <c s="912">
        <f>'REGISTRO TRAMITES DEL DIA '!J70</f>
        <v>0</v>
      </c>
      <c s="923" t="s">
        <v>259</v>
      </c>
      <c s="914">
        <f>'REGISTRO TRAMITES DEL DIA '!H70</f>
        <v>500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0</v>
      </c>
    </row>
    <row r="37" spans="1:22" s="910" customFormat="1" ht="37.5" customHeight="1" thickBot="1">
      <c r="A37" s="919" t="s">
        <v>327</v>
      </c>
      <c s="912">
        <v>0</v>
      </c>
      <c s="912">
        <f>'REGISTRO TRAMITES DEL DIA '!G71</f>
        <v>0</v>
      </c>
      <c s="912">
        <f>'REGISTRO TRAMITES DEL DIA '!J71</f>
        <v>0</v>
      </c>
      <c s="923" t="s">
        <v>393</v>
      </c>
      <c s="914">
        <f>'REGISTRO TRAMITES DEL DIA '!H71</f>
        <v>500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0</v>
      </c>
    </row>
    <row r="38" spans="1:22" s="910" customFormat="1" ht="37.5" customHeight="1" thickBot="1">
      <c r="A38" s="919" t="s">
        <v>624</v>
      </c>
      <c s="912">
        <v>0</v>
      </c>
      <c s="912">
        <f>'REGISTRO TRAMITES DEL DIA '!G72</f>
        <v>1</v>
      </c>
      <c s="912">
        <f>'REGISTRO TRAMITES DEL DIA '!J72</f>
        <v>0</v>
      </c>
      <c s="923" t="s">
        <v>393</v>
      </c>
      <c s="914">
        <v>500</v>
      </c>
      <c s="924">
        <f>B38*F38</f>
        <v>0</v>
      </c>
      <c s="915"/>
      <c s="916">
        <f>B38*2200</f>
        <v>0</v>
      </c>
      <c s="916"/>
      <c s="916">
        <f>G38-I38-J38</f>
        <v>0</v>
      </c>
      <c s="915"/>
      <c s="916">
        <f t="shared" si="6"/>
        <v>500</v>
      </c>
      <c s="917"/>
      <c s="898">
        <f>D38*F38</f>
        <v>0</v>
      </c>
      <c s="899">
        <f>+O38-Q38-R38-S38</f>
        <v>0</v>
      </c>
      <c s="897"/>
      <c s="916">
        <v>0</v>
      </c>
      <c s="900">
        <f>+O38*2.5%</f>
        <v>0</v>
      </c>
      <c s="901"/>
      <c s="901"/>
      <c s="901">
        <f t="shared" si="4"/>
        <v>500</v>
      </c>
    </row>
    <row r="39" spans="1:22" s="910" customFormat="1" ht="37.5" customHeight="1" thickBot="1">
      <c r="A39" s="919" t="s">
        <v>441</v>
      </c>
      <c s="912">
        <v>0</v>
      </c>
      <c s="912">
        <f>'REGISTRO TRAMITES DEL DIA '!G73</f>
        <v>0</v>
      </c>
      <c s="912">
        <f>'REGISTRO TRAMITES DEL DIA '!J73</f>
        <v>0</v>
      </c>
      <c s="926" t="s">
        <v>442</v>
      </c>
      <c s="914">
        <f>'REGISTRO TRAMITES DEL DIA '!H73</f>
        <v>1000</v>
      </c>
      <c s="924">
        <f>B39*F39</f>
        <v>0</v>
      </c>
      <c s="915"/>
      <c s="916">
        <f>B39*2200</f>
        <v>0</v>
      </c>
      <c s="916"/>
      <c s="916">
        <f>G39-I39-J39</f>
        <v>0</v>
      </c>
      <c s="915"/>
      <c s="916">
        <f t="shared" si="6"/>
        <v>0</v>
      </c>
      <c s="917"/>
      <c s="898">
        <f>D39*F39</f>
        <v>0</v>
      </c>
      <c s="899">
        <f>+O39-Q39-R39-S39</f>
        <v>0</v>
      </c>
      <c s="897"/>
      <c s="916">
        <v>0</v>
      </c>
      <c s="900">
        <f>+O39*2.5%</f>
        <v>0</v>
      </c>
      <c s="901"/>
      <c s="901"/>
      <c s="901">
        <f t="shared" si="4"/>
        <v>0</v>
      </c>
    </row>
    <row r="40" spans="1:22" s="910" customFormat="1" ht="30" customHeight="1" thickBot="1">
      <c r="A40" s="919" t="s">
        <v>260</v>
      </c>
      <c s="912">
        <v>0</v>
      </c>
      <c s="912">
        <f>'REGISTRO TRAMITES DEL DIA '!G74</f>
        <v>39</v>
      </c>
      <c s="912">
        <f>'REGISTRO TRAMITES DEL DIA '!J74</f>
        <v>0</v>
      </c>
      <c s="923" t="s">
        <v>261</v>
      </c>
      <c s="914">
        <f>'REGISTRO TRAMITES DEL DIA '!H74</f>
        <v>1000</v>
      </c>
      <c s="924">
        <f>B40*F40</f>
        <v>0</v>
      </c>
      <c s="915"/>
      <c s="916">
        <f>B40*2200</f>
        <v>0</v>
      </c>
      <c s="916"/>
      <c s="916">
        <f>G40-I40-J40</f>
        <v>0</v>
      </c>
      <c s="915"/>
      <c s="916">
        <f t="shared" si="6"/>
        <v>39000</v>
      </c>
      <c s="917"/>
      <c s="898">
        <f>D40*F40</f>
        <v>0</v>
      </c>
      <c s="899">
        <f>+O40-Q40-R40-S40</f>
        <v>0</v>
      </c>
      <c s="897"/>
      <c s="916">
        <v>0</v>
      </c>
      <c s="900">
        <f>+O40*2.5%</f>
        <v>0</v>
      </c>
      <c s="901"/>
      <c s="901"/>
      <c s="901">
        <f t="shared" si="4"/>
        <v>39000</v>
      </c>
    </row>
    <row r="41" spans="1:22" s="910" customFormat="1" ht="30" customHeight="1" thickBot="1">
      <c r="A41" s="919" t="s">
        <v>262</v>
      </c>
      <c s="912">
        <v>0</v>
      </c>
      <c s="912">
        <f>+'REGISTRO TRAMITES DEL DIA '!G75</f>
        <v>7</v>
      </c>
      <c s="912">
        <f>'REGISTRO TRAMITES DEL DIA '!J75</f>
        <v>0</v>
      </c>
      <c s="923" t="s">
        <v>263</v>
      </c>
      <c s="914">
        <f>'REGISTRO TRAMITES DEL DIA '!H75</f>
        <v>2142.857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14999.999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14999.999</v>
      </c>
    </row>
    <row r="42" spans="1:22" s="910" customFormat="1" ht="30" customHeight="1" thickBot="1">
      <c r="A42" s="919" t="s">
        <v>264</v>
      </c>
      <c s="912">
        <v>0</v>
      </c>
      <c s="912">
        <f>'REGISTRO TRAMITES DEL DIA '!G76</f>
        <v>0</v>
      </c>
      <c s="912">
        <f>'REGISTRO TRAMITES DEL DIA '!J76</f>
        <v>0</v>
      </c>
      <c s="913" t="s">
        <v>265</v>
      </c>
      <c s="914">
        <f>'REGISTRO TRAMITES DEL DIA '!H76</f>
        <v>5000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0</v>
      </c>
    </row>
    <row r="43" spans="1:22" s="910" customFormat="1" ht="30" customHeight="1" thickBot="1">
      <c r="A43" s="919" t="s">
        <v>266</v>
      </c>
      <c s="912">
        <v>0</v>
      </c>
      <c s="912">
        <f>'REGISTRO TRAMITES DEL DIA '!G77</f>
        <v>0</v>
      </c>
      <c s="912">
        <f>'REGISTRO TRAMITES DEL DIA '!J77</f>
        <v>0</v>
      </c>
      <c s="913" t="s">
        <v>267</v>
      </c>
      <c s="914">
        <f>'REGISTRO TRAMITES DEL DIA '!H77</f>
        <v>5250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0</v>
      </c>
    </row>
    <row r="44" spans="1:22" s="910" customFormat="1" ht="30" customHeight="1" thickBot="1">
      <c r="A44" s="919" t="s">
        <v>268</v>
      </c>
      <c s="912">
        <v>0</v>
      </c>
      <c s="912">
        <f>'REGISTRO TRAMITES DEL DIA '!G78</f>
        <v>15</v>
      </c>
      <c s="912">
        <f>'REGISTRO TRAMITES DEL DIA '!J78</f>
        <v>0</v>
      </c>
      <c s="913" t="s">
        <v>269</v>
      </c>
      <c s="914">
        <f>'REGISTRO TRAMITES DEL DIA '!H78</f>
        <v>3400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51000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51000</v>
      </c>
    </row>
    <row r="45" spans="1:22" s="910" customFormat="1" ht="30" customHeight="1" thickBot="1">
      <c r="A45" s="919" t="s">
        <v>270</v>
      </c>
      <c s="912">
        <v>0</v>
      </c>
      <c s="912">
        <f>'REGISTRO TRAMITES DEL DIA '!G79</f>
        <v>0</v>
      </c>
      <c s="912">
        <f>'REGISTRO TRAMITES DEL DIA '!J79</f>
        <v>0</v>
      </c>
      <c s="913" t="s">
        <v>271</v>
      </c>
      <c s="914">
        <f>'REGISTRO TRAMITES DEL DIA '!H79</f>
        <v>100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0</v>
      </c>
    </row>
    <row r="46" spans="1:22" s="910" customFormat="1" ht="39" customHeight="1" thickBot="1">
      <c r="A46" s="919" t="s">
        <v>272</v>
      </c>
      <c s="912">
        <v>0</v>
      </c>
      <c s="912">
        <f>'REGISTRO TRAMITES DEL DIA '!G80</f>
        <v>0</v>
      </c>
      <c s="912">
        <f>'REGISTRO TRAMITES DEL DIA '!J80</f>
        <v>0</v>
      </c>
      <c s="913" t="s">
        <v>303</v>
      </c>
      <c s="914">
        <f>'REGISTRO TRAMITES DEL DIA '!H80</f>
        <v>1500</v>
      </c>
      <c s="924">
        <f t="shared" si="8"/>
        <v>0</v>
      </c>
      <c s="915"/>
      <c s="916">
        <f t="shared" si="9"/>
        <v>0</v>
      </c>
      <c s="916"/>
      <c s="916">
        <f t="shared" si="7"/>
        <v>0</v>
      </c>
      <c s="915"/>
      <c s="916">
        <f t="shared" si="6"/>
        <v>0</v>
      </c>
      <c s="917"/>
      <c s="898">
        <f t="shared" si="1"/>
        <v>0</v>
      </c>
      <c s="899">
        <f t="shared" si="2"/>
        <v>0</v>
      </c>
      <c s="897"/>
      <c s="916">
        <v>0</v>
      </c>
      <c s="900">
        <f t="shared" si="3"/>
        <v>0</v>
      </c>
      <c s="901"/>
      <c s="901"/>
      <c s="901">
        <f t="shared" si="4"/>
        <v>0</v>
      </c>
    </row>
    <row r="47" spans="1:22" s="910" customFormat="1" ht="30" customHeight="1" thickBot="1">
      <c r="A47" s="919" t="s">
        <v>274</v>
      </c>
      <c s="912">
        <v>0</v>
      </c>
      <c s="912">
        <f>'REGISTRO TRAMITES DEL DIA '!G81</f>
        <v>0</v>
      </c>
      <c s="912">
        <f>'REGISTRO TRAMITES DEL DIA '!J81</f>
        <v>0</v>
      </c>
      <c s="913" t="s">
        <v>275</v>
      </c>
      <c s="927">
        <f>'REGISTRO TRAMITES DEL DIA '!H81</f>
        <v>60352</v>
      </c>
      <c s="924">
        <f t="shared" si="8"/>
        <v>0</v>
      </c>
      <c s="928"/>
      <c s="929"/>
      <c s="916"/>
      <c s="916">
        <f t="shared" si="7"/>
        <v>0</v>
      </c>
      <c s="928"/>
      <c s="916">
        <f t="shared" si="6"/>
        <v>0</v>
      </c>
      <c s="930"/>
      <c s="898">
        <f t="shared" si="1"/>
        <v>0</v>
      </c>
      <c s="899">
        <f t="shared" si="2"/>
        <v>0</v>
      </c>
      <c s="931"/>
      <c s="929">
        <v>0</v>
      </c>
      <c s="900">
        <f t="shared" si="3"/>
        <v>0</v>
      </c>
      <c s="901"/>
      <c s="901"/>
      <c s="901">
        <f t="shared" si="4"/>
        <v>0</v>
      </c>
    </row>
    <row r="48" spans="1:22" s="910" customFormat="1" ht="30" customHeight="1" thickBot="1">
      <c r="A48" s="919" t="s">
        <v>485</v>
      </c>
      <c s="912">
        <v>0</v>
      </c>
      <c s="912">
        <f>'REGISTRO TRAMITES DEL DIA '!G82</f>
        <v>0</v>
      </c>
      <c s="912">
        <f>'REGISTRO TRAMITES DEL DIA '!J82</f>
        <v>0</v>
      </c>
      <c s="932" t="s">
        <v>486</v>
      </c>
      <c s="933">
        <f>'REGISTRO TRAMITES DEL DIA '!H82</f>
        <v>1500</v>
      </c>
      <c s="924">
        <f t="shared" si="8"/>
        <v>0</v>
      </c>
      <c s="928"/>
      <c s="929"/>
      <c s="916"/>
      <c s="916">
        <f>G48-I48-J48</f>
        <v>0</v>
      </c>
      <c s="928"/>
      <c s="929">
        <f>C48*F48</f>
        <v>0</v>
      </c>
      <c s="930"/>
      <c s="898">
        <f t="shared" si="1"/>
        <v>0</v>
      </c>
      <c s="899">
        <f t="shared" si="2"/>
        <v>0</v>
      </c>
      <c s="931"/>
      <c s="929">
        <v>0</v>
      </c>
      <c s="900">
        <f t="shared" si="3"/>
        <v>0</v>
      </c>
      <c s="901"/>
      <c s="901"/>
      <c s="901">
        <f t="shared" si="4"/>
        <v>0</v>
      </c>
    </row>
    <row r="49" spans="1:30" ht="41.25" customHeight="1">
      <c r="A49" s="934" t="s">
        <v>246</v>
      </c>
      <c s="935">
        <f>SUM(B11:B48)</f>
        <v>9488</v>
      </c>
      <c s="935">
        <f>SUM(C11:C48)</f>
        <v>264</v>
      </c>
      <c s="935">
        <f>SUM(D11:D48)</f>
        <v>5742</v>
      </c>
      <c s="1395" t="s">
        <v>182</v>
      </c>
      <c s="1395"/>
      <c s="936">
        <f>SUM(G11:G48)</f>
        <v>28441865</v>
      </c>
      <c s="936"/>
      <c s="936">
        <f>SUM(I11:I48)</f>
        <v>10983125</v>
      </c>
      <c s="936">
        <f>SUM(J11:J48)</f>
        <v>132800</v>
      </c>
      <c s="936">
        <f>SUM(K11:K48)</f>
        <v>17325940</v>
      </c>
      <c s="936"/>
      <c s="937">
        <f>SUM(M26:M48)</f>
        <v>659299.99899999995</v>
      </c>
      <c s="937"/>
      <c s="936">
        <f>SUM(O11:O48)</f>
        <v>9744325</v>
      </c>
      <c s="936">
        <f>SUM(P11:P48)</f>
        <v>6003038.125</v>
      </c>
      <c s="936">
        <f>SUM(Q11:Q24)</f>
        <v>3286650</v>
      </c>
      <c s="936">
        <f>SUM(R11:R48)</f>
        <v>211200</v>
      </c>
      <c s="936">
        <f>SUM(S11:S25)</f>
        <v>243436.875</v>
      </c>
      <c s="936"/>
      <c s="936"/>
      <c s="936">
        <f>SUM(V11:V48)</f>
        <v>23988278.124000002</v>
      </c>
      <c s="938">
        <v>0</v>
      </c>
      <c s="939"/>
      <c s="939"/>
      <c s="939"/>
      <c s="939"/>
      <c s="939"/>
      <c s="939"/>
      <c s="939"/>
    </row>
    <row r="50" spans="1:22" s="910" customFormat="1" ht="22.5" customHeight="1">
      <c r="A50" s="940"/>
      <c s="941"/>
      <c s="941"/>
      <c s="941"/>
      <c s="942"/>
      <c s="943"/>
      <c s="944"/>
      <c s="945"/>
      <c s="944"/>
      <c s="944"/>
      <c s="876"/>
      <c s="945"/>
      <c s="946"/>
      <c s="947"/>
      <c s="948"/>
      <c s="949"/>
      <c s="945"/>
      <c s="950"/>
      <c s="951"/>
      <c s="945"/>
      <c s="951"/>
      <c s="952"/>
    </row>
    <row r="51" spans="1:22" s="910" customFormat="1" ht="30" customHeight="1">
      <c r="A51" s="941">
        <v>0</v>
      </c>
      <c s="941">
        <v>0</v>
      </c>
      <c s="941">
        <v>0</v>
      </c>
      <c s="941">
        <v>0</v>
      </c>
      <c s="942" t="s">
        <v>444</v>
      </c>
      <c s="943"/>
      <c s="944">
        <f>SUM(I51:K51)</f>
        <v>0</v>
      </c>
      <c s="945"/>
      <c s="944">
        <v>0</v>
      </c>
      <c s="944">
        <v>0</v>
      </c>
      <c s="876">
        <v>0</v>
      </c>
      <c s="945"/>
      <c s="953">
        <v>237250</v>
      </c>
      <c s="947"/>
      <c s="948">
        <v>0</v>
      </c>
      <c s="949">
        <v>0</v>
      </c>
      <c s="945"/>
      <c s="950">
        <v>0</v>
      </c>
      <c s="951">
        <v>0</v>
      </c>
      <c s="945"/>
      <c s="951">
        <v>0</v>
      </c>
      <c s="952">
        <v>0</v>
      </c>
    </row>
    <row r="52" spans="1:22" ht="19.5" customHeight="1">
      <c r="A52" s="870"/>
      <c s="871"/>
      <c s="871"/>
      <c s="871"/>
      <c s="872"/>
      <c s="872"/>
      <c s="873"/>
      <c s="873"/>
      <c s="873"/>
      <c s="873"/>
      <c s="876"/>
      <c s="873"/>
      <c s="873"/>
      <c s="873"/>
      <c s="873"/>
      <c s="873"/>
      <c s="873"/>
      <c s="873"/>
      <c s="874"/>
      <c s="875"/>
      <c s="876"/>
      <c s="873"/>
    </row>
    <row r="53" spans="1:34" ht="28.5" customHeight="1">
      <c r="A53" s="934" t="s">
        <v>246</v>
      </c>
      <c s="935">
        <f>+B49+B51</f>
        <v>9488</v>
      </c>
      <c s="935">
        <f>+C49+C51</f>
        <v>264</v>
      </c>
      <c s="935">
        <f>+D49+D51</f>
        <v>5742</v>
      </c>
      <c s="1395" t="s">
        <v>321</v>
      </c>
      <c s="1395"/>
      <c s="936">
        <f>SUM(I53:K53)</f>
        <v>28441865</v>
      </c>
      <c s="936"/>
      <c s="936">
        <f>+I49+I51</f>
        <v>10983125</v>
      </c>
      <c s="936">
        <f>+J49+J51</f>
        <v>132800</v>
      </c>
      <c s="936">
        <f>+K51+K49</f>
        <v>17325940</v>
      </c>
      <c s="936"/>
      <c s="937">
        <f>M49+M51</f>
        <v>896549.99899999995</v>
      </c>
      <c s="937">
        <f t="shared" si="10" ref="N53:S53">+N51+N49</f>
        <v>0</v>
      </c>
      <c s="937">
        <f t="shared" si="10"/>
        <v>9744325</v>
      </c>
      <c s="937">
        <f t="shared" si="10"/>
        <v>6003038.125</v>
      </c>
      <c s="937">
        <f t="shared" si="10"/>
        <v>3286650</v>
      </c>
      <c s="937">
        <f t="shared" si="10"/>
        <v>211200</v>
      </c>
      <c s="937">
        <f t="shared" si="10"/>
        <v>243436.875</v>
      </c>
      <c s="937"/>
      <c s="937">
        <f>U44+U51</f>
        <v>0</v>
      </c>
      <c s="937">
        <f>+V49+V51</f>
        <v>23988278.124000002</v>
      </c>
      <c s="939"/>
      <c s="939"/>
      <c s="939"/>
      <c s="939"/>
      <c s="939"/>
      <c s="939"/>
      <c s="939"/>
      <c s="939"/>
      <c s="939"/>
      <c s="939"/>
      <c s="939"/>
      <c s="939"/>
    </row>
    <row r="54" spans="1:34" ht="26.25" customHeight="1">
      <c r="A54" s="934"/>
      <c s="935"/>
      <c s="935"/>
      <c s="935"/>
      <c s="1098"/>
      <c s="1098"/>
      <c s="876"/>
      <c s="876"/>
      <c s="876"/>
      <c s="876"/>
      <c s="876" t="s">
        <v>470</v>
      </c>
      <c s="876"/>
      <c s="954"/>
      <c s="954"/>
      <c s="954"/>
      <c s="954"/>
      <c s="954"/>
      <c s="954"/>
      <c s="954"/>
      <c s="954"/>
      <c s="954"/>
      <c s="954"/>
      <c s="939"/>
      <c s="939"/>
      <c s="939"/>
      <c s="939"/>
      <c s="939"/>
      <c s="939"/>
      <c s="939"/>
      <c s="939"/>
      <c s="939"/>
      <c s="939"/>
      <c s="939"/>
      <c s="939"/>
    </row>
    <row r="55" spans="1:34" ht="26.25" customHeight="1">
      <c r="A55" s="934"/>
      <c s="935"/>
      <c s="935"/>
      <c s="935"/>
      <c s="1098"/>
      <c s="1098"/>
      <c s="876"/>
      <c s="876"/>
      <c s="876"/>
      <c s="876"/>
      <c s="876"/>
      <c s="876"/>
      <c s="954"/>
      <c s="954"/>
      <c s="954"/>
      <c s="954"/>
      <c s="954"/>
      <c s="954"/>
      <c s="954"/>
      <c s="954"/>
      <c s="954"/>
      <c s="954"/>
      <c s="939"/>
      <c s="939"/>
      <c s="939"/>
      <c s="939"/>
      <c s="939"/>
      <c s="939"/>
      <c s="939"/>
      <c s="939"/>
      <c s="939"/>
      <c s="939"/>
      <c s="939"/>
      <c s="939"/>
    </row>
    <row r="56" spans="1:34" ht="26.25" customHeight="1">
      <c r="A56" s="934"/>
      <c s="935"/>
      <c s="935"/>
      <c s="935"/>
      <c s="1098"/>
      <c s="1098"/>
      <c s="876"/>
      <c s="876"/>
      <c s="876"/>
      <c s="876"/>
      <c s="876"/>
      <c s="876"/>
      <c s="954"/>
      <c s="954"/>
      <c s="954"/>
      <c s="954"/>
      <c s="954"/>
      <c s="954"/>
      <c s="954"/>
      <c s="954"/>
      <c s="954"/>
      <c s="954"/>
      <c s="939"/>
      <c s="939"/>
      <c s="939"/>
      <c s="939"/>
      <c s="939"/>
      <c s="939"/>
      <c s="939"/>
      <c s="939"/>
      <c s="939"/>
      <c s="939"/>
      <c s="939"/>
      <c s="939"/>
    </row>
    <row r="57" spans="1:34" ht="26.25" customHeight="1">
      <c r="A57" s="934"/>
      <c s="935"/>
      <c s="935"/>
      <c s="935"/>
      <c s="1098"/>
      <c s="1098"/>
      <c s="876"/>
      <c s="876"/>
      <c s="876"/>
      <c s="876"/>
      <c s="876"/>
      <c s="876"/>
      <c s="954"/>
      <c s="954"/>
      <c s="954"/>
      <c s="954"/>
      <c s="954"/>
      <c s="954"/>
      <c s="954"/>
      <c s="954"/>
      <c s="954"/>
      <c s="954"/>
      <c s="939"/>
      <c s="939"/>
      <c s="939"/>
      <c s="939"/>
      <c s="939"/>
      <c s="939"/>
      <c s="939"/>
      <c s="939"/>
      <c s="939"/>
      <c s="939"/>
      <c s="939"/>
      <c s="939"/>
    </row>
    <row r="58" spans="1:34" ht="26.25" customHeight="1">
      <c r="A58" s="934"/>
      <c s="935"/>
      <c s="935"/>
      <c s="935"/>
      <c s="1098"/>
      <c s="1098"/>
      <c s="876"/>
      <c s="876"/>
      <c s="876"/>
      <c s="876"/>
      <c s="876"/>
      <c s="876"/>
      <c s="954"/>
      <c s="954"/>
      <c s="954"/>
      <c s="954"/>
      <c s="954"/>
      <c s="954"/>
      <c s="954"/>
      <c s="954"/>
      <c s="954"/>
      <c s="954"/>
      <c s="939"/>
      <c s="939"/>
      <c s="939"/>
      <c s="939"/>
      <c s="939"/>
      <c s="939"/>
      <c s="939"/>
      <c s="939"/>
      <c s="939"/>
      <c s="939"/>
      <c s="939"/>
      <c s="939"/>
    </row>
    <row r="59" spans="1:34" ht="26.25" customHeight="1">
      <c r="A59" s="934"/>
      <c s="935"/>
      <c s="935"/>
      <c s="935"/>
      <c s="1098"/>
      <c s="1098"/>
      <c s="876"/>
      <c s="876"/>
      <c s="876"/>
      <c s="876"/>
      <c s="876"/>
      <c s="876"/>
      <c s="954"/>
      <c s="954"/>
      <c s="954"/>
      <c s="954"/>
      <c s="954"/>
      <c s="954"/>
      <c s="954"/>
      <c s="954"/>
      <c s="954"/>
      <c s="954"/>
      <c s="939"/>
      <c s="939"/>
      <c s="939"/>
      <c s="939"/>
      <c s="939"/>
      <c s="939"/>
      <c s="939"/>
      <c s="939"/>
      <c s="939"/>
      <c s="939"/>
      <c s="939"/>
      <c s="939"/>
    </row>
    <row r="60" spans="1:30" ht="40.5" customHeight="1">
      <c r="A60" s="934"/>
      <c s="935"/>
      <c s="935"/>
      <c s="935"/>
      <c s="1098"/>
      <c s="1098"/>
      <c s="876"/>
      <c s="876"/>
      <c s="876"/>
      <c s="876"/>
      <c s="876"/>
      <c s="876"/>
      <c s="954"/>
      <c s="954"/>
      <c s="876"/>
      <c s="876"/>
      <c s="876"/>
      <c s="876"/>
      <c s="876"/>
      <c s="876"/>
      <c s="876"/>
      <c s="876"/>
      <c s="938"/>
      <c s="939"/>
      <c s="939"/>
      <c s="939"/>
      <c s="939"/>
      <c s="939"/>
      <c s="939"/>
      <c s="939"/>
    </row>
    <row r="61" spans="1:30" ht="41.25" customHeight="1" hidden="1">
      <c r="A61" s="934"/>
      <c s="935"/>
      <c s="935"/>
      <c s="935"/>
      <c s="1098"/>
      <c s="1098"/>
      <c s="876"/>
      <c s="876"/>
      <c s="876"/>
      <c s="876"/>
      <c s="876"/>
      <c s="876"/>
      <c s="954"/>
      <c s="954"/>
      <c s="876"/>
      <c s="876"/>
      <c s="876"/>
      <c s="876"/>
      <c s="876"/>
      <c s="876"/>
      <c s="876"/>
      <c s="876"/>
      <c s="938"/>
      <c s="939"/>
      <c s="939"/>
      <c s="939"/>
      <c s="939"/>
      <c s="939"/>
      <c s="939"/>
      <c s="939"/>
    </row>
    <row r="62" spans="1:30" ht="41.25" customHeight="1" hidden="1">
      <c r="A62" s="934"/>
      <c s="935"/>
      <c s="935"/>
      <c s="935"/>
      <c s="1098"/>
      <c s="1098"/>
      <c s="876"/>
      <c s="876"/>
      <c s="876"/>
      <c s="876"/>
      <c s="876"/>
      <c s="876"/>
      <c s="954"/>
      <c s="954"/>
      <c s="876"/>
      <c s="876"/>
      <c s="876"/>
      <c s="876"/>
      <c s="876"/>
      <c s="876"/>
      <c s="876"/>
      <c s="876"/>
      <c s="938"/>
      <c s="939"/>
      <c s="939"/>
      <c s="939"/>
      <c s="939"/>
      <c s="939"/>
      <c s="939"/>
      <c s="939"/>
    </row>
    <row r="63" spans="1:30" ht="41.25" customHeight="1" hidden="1">
      <c r="A63" s="934"/>
      <c s="935"/>
      <c s="935"/>
      <c s="935"/>
      <c s="1098"/>
      <c s="1098"/>
      <c s="876"/>
      <c s="876"/>
      <c s="876"/>
      <c s="876"/>
      <c s="876"/>
      <c s="876"/>
      <c s="954"/>
      <c s="954"/>
      <c s="876"/>
      <c s="876"/>
      <c s="876"/>
      <c s="876"/>
      <c s="876"/>
      <c s="876"/>
      <c s="876"/>
      <c s="876"/>
      <c s="938"/>
      <c s="939"/>
      <c s="939"/>
      <c s="939"/>
      <c s="939"/>
      <c s="939"/>
      <c s="939"/>
      <c s="939"/>
    </row>
    <row r="64" spans="1:22" ht="24" customHeight="1" hidden="1">
      <c r="A64" s="870"/>
      <c s="871"/>
      <c s="871"/>
      <c s="871"/>
      <c s="872"/>
      <c s="872"/>
      <c s="873"/>
      <c s="873"/>
      <c s="873"/>
      <c s="873"/>
      <c s="873"/>
      <c s="873"/>
      <c s="873"/>
      <c s="873"/>
      <c s="873"/>
      <c s="873"/>
      <c s="873"/>
      <c s="873"/>
      <c s="874"/>
      <c s="875"/>
      <c s="876"/>
      <c s="873"/>
    </row>
    <row r="65" spans="1:22" ht="24" customHeight="1">
      <c r="A65" s="870"/>
      <c s="871"/>
      <c s="871"/>
      <c s="871"/>
      <c s="872"/>
      <c s="872"/>
      <c s="873"/>
      <c s="873"/>
      <c s="873"/>
      <c s="873"/>
      <c s="873"/>
      <c s="873"/>
      <c s="873"/>
      <c s="873"/>
      <c s="873"/>
      <c s="873"/>
      <c s="873"/>
      <c s="873"/>
      <c s="874"/>
      <c s="875"/>
      <c s="876"/>
      <c s="873"/>
    </row>
    <row r="66" spans="1:21" ht="24.75" customHeight="1">
      <c r="A66" s="870"/>
      <c s="871"/>
      <c s="871"/>
      <c s="871"/>
      <c s="955" t="s">
        <v>114</v>
      </c>
      <c s="872"/>
      <c s="872"/>
      <c s="872"/>
      <c s="872"/>
      <c s="872"/>
      <c s="873"/>
      <c s="873"/>
      <c s="873"/>
      <c s="873"/>
      <c s="873"/>
      <c s="873"/>
      <c s="873"/>
      <c s="873"/>
      <c s="947"/>
      <c s="947"/>
      <c s="869" t="s">
        <v>188</v>
      </c>
    </row>
    <row r="67" spans="1:20" ht="21.75" customHeight="1">
      <c r="A67" s="870"/>
      <c s="871"/>
      <c s="871"/>
      <c s="871"/>
      <c s="955"/>
      <c s="872"/>
      <c s="872"/>
      <c s="872"/>
      <c s="872"/>
      <c s="872"/>
      <c s="873"/>
      <c s="873"/>
      <c s="873"/>
      <c s="873"/>
      <c s="873"/>
      <c s="873"/>
      <c s="873"/>
      <c s="873"/>
      <c s="947"/>
      <c s="947"/>
    </row>
    <row r="68" spans="1:24" ht="31.5" customHeight="1" thickBot="1">
      <c r="A68" s="870"/>
      <c s="956"/>
      <c s="956"/>
      <c s="956"/>
      <c s="957" t="s">
        <v>60</v>
      </c>
      <c s="958" t="s">
        <v>60</v>
      </c>
      <c s="959" t="s">
        <v>60</v>
      </c>
      <c s="958"/>
      <c s="958"/>
      <c s="958"/>
      <c s="960"/>
      <c s="960"/>
      <c s="961"/>
      <c s="961"/>
      <c s="961"/>
      <c s="961"/>
      <c s="961"/>
      <c s="961"/>
      <c s="870"/>
      <c s="870"/>
      <c s="939"/>
      <c s="939"/>
      <c r="X68" s="962"/>
    </row>
    <row r="69" spans="1:24" ht="30.75" customHeight="1">
      <c r="A69" s="934"/>
      <c s="963"/>
      <c s="963"/>
      <c s="963"/>
      <c s="1431" t="s">
        <v>652</v>
      </c>
      <c s="1431"/>
      <c s="964">
        <f>SUM(I69:L69)</f>
        <v>16431441.15</v>
      </c>
      <c s="965"/>
      <c s="966">
        <f>+'REGISTRO ALIMENTARIO'!B131</f>
        <v>214636.39000000001</v>
      </c>
      <c s="966">
        <f>+'REGISTRO ALIMENTARIO'!C131</f>
        <v>15695683.08</v>
      </c>
      <c s="966">
        <f>+'REGISTRO ALIMENTARIO'!D131</f>
        <v>521121.67999999999</v>
      </c>
      <c s="967"/>
      <c s="966">
        <f>+'REGISTRO ALIMENTARIO'!J131</f>
        <v>4050</v>
      </c>
      <c s="967"/>
      <c s="966">
        <v>0</v>
      </c>
      <c s="966"/>
      <c s="968"/>
      <c s="966"/>
      <c s="966"/>
      <c s="967"/>
      <c s="969">
        <v>0</v>
      </c>
      <c s="970">
        <f>+K69+M69+P69</f>
        <v>525171.67999999993</v>
      </c>
      <c r="X69" s="962"/>
    </row>
    <row r="70" spans="1:24" ht="22.5" customHeight="1" thickBot="1">
      <c r="A70" s="934" t="s">
        <v>240</v>
      </c>
      <c s="963"/>
      <c s="963"/>
      <c s="963"/>
      <c s="872" t="s">
        <v>745</v>
      </c>
      <c s="872"/>
      <c s="971">
        <f>+I70+J70+K70</f>
        <v>28441865</v>
      </c>
      <c s="972">
        <v>0</v>
      </c>
      <c s="973">
        <f>+'REGISTRO ALIMENTARIO'!B64</f>
        <v>10983125</v>
      </c>
      <c s="973">
        <f>+'REGISTRO ALIMENTARIO'!C64</f>
        <v>132800</v>
      </c>
      <c s="973">
        <f>+'REGISTRO ALIMENTARIO'!D64</f>
        <v>17325940</v>
      </c>
      <c s="974">
        <v>0</v>
      </c>
      <c s="975">
        <f>'REGISTRO ALIMENTARIO'!J64</f>
        <v>896550</v>
      </c>
      <c s="976">
        <v>0</v>
      </c>
      <c s="975">
        <f>+P70+R70+Q70+S70</f>
        <v>9744325</v>
      </c>
      <c s="975">
        <f>+P53</f>
        <v>6003038.125</v>
      </c>
      <c s="975">
        <f>+Q53</f>
        <v>3286650</v>
      </c>
      <c s="975">
        <f>+R53</f>
        <v>211200</v>
      </c>
      <c s="975">
        <f>+S53</f>
        <v>243436.875</v>
      </c>
      <c s="975"/>
      <c s="975">
        <f>'[2]REGISTRO ALIMENTARIO'!I64</f>
        <v>13635.379999999999</v>
      </c>
      <c s="977">
        <f>K70+M70+P70</f>
        <v>24225528.125</v>
      </c>
      <c r="X70" s="962"/>
    </row>
    <row r="71" spans="1:24" ht="0.75" customHeight="1" thickTop="1">
      <c r="A71" s="934"/>
      <c s="963"/>
      <c s="963"/>
      <c s="963"/>
      <c s="872" t="s">
        <v>746</v>
      </c>
      <c s="872"/>
      <c s="971">
        <f>SUM(I71:K71)</f>
        <v>0</v>
      </c>
      <c s="978"/>
      <c s="979">
        <v>0</v>
      </c>
      <c s="979">
        <v>0</v>
      </c>
      <c s="979">
        <v>0</v>
      </c>
      <c s="980"/>
      <c s="979">
        <v>0</v>
      </c>
      <c s="980"/>
      <c s="979">
        <v>0</v>
      </c>
      <c s="979">
        <v>0</v>
      </c>
      <c s="979">
        <v>0</v>
      </c>
      <c s="979">
        <v>0</v>
      </c>
      <c s="979">
        <v>0</v>
      </c>
      <c s="981">
        <v>0</v>
      </c>
      <c s="982" t="e">
        <f>#REF!</f>
        <v>#REF!</v>
      </c>
      <c s="977">
        <f>K71+M71+P71</f>
        <v>0</v>
      </c>
      <c r="X71" s="962"/>
    </row>
    <row r="72" spans="1:24" ht="48.75" customHeight="1" hidden="1">
      <c r="A72" s="934"/>
      <c s="963"/>
      <c s="963"/>
      <c s="963"/>
      <c s="1387" t="s">
        <v>497</v>
      </c>
      <c s="1388"/>
      <c s="983">
        <f>SUM(I72:K72)</f>
        <v>0</v>
      </c>
      <c s="984"/>
      <c s="985">
        <v>0</v>
      </c>
      <c s="985">
        <v>0</v>
      </c>
      <c s="986">
        <v>0</v>
      </c>
      <c s="987"/>
      <c s="988">
        <v>0</v>
      </c>
      <c s="987"/>
      <c s="988">
        <v>0</v>
      </c>
      <c s="988">
        <v>0</v>
      </c>
      <c s="975">
        <f>+Q51</f>
        <v>0</v>
      </c>
      <c s="989">
        <v>0</v>
      </c>
      <c s="989">
        <v>0</v>
      </c>
      <c s="990"/>
      <c s="982">
        <v>0</v>
      </c>
      <c s="977">
        <f>K72+M72+P72</f>
        <v>0</v>
      </c>
      <c r="X72" s="962"/>
    </row>
    <row r="73" spans="1:24" ht="33" customHeight="1">
      <c r="A73" s="934"/>
      <c s="963"/>
      <c s="963"/>
      <c s="963"/>
      <c s="1431" t="s">
        <v>747</v>
      </c>
      <c s="1431"/>
      <c s="991">
        <f>G69+G70+G71</f>
        <v>44873306.149999999</v>
      </c>
      <c s="992"/>
      <c s="993">
        <f>I69+I70+I71</f>
        <v>11197761.390000001</v>
      </c>
      <c s="993">
        <f>J69+J70+J71</f>
        <v>15828483.08</v>
      </c>
      <c s="993">
        <f>K69+K70+K71+K72</f>
        <v>17847061.68</v>
      </c>
      <c s="993"/>
      <c s="993">
        <f>M69+M70+M71</f>
        <v>900600</v>
      </c>
      <c s="993"/>
      <c s="993">
        <f>O69+O70+O71</f>
        <v>9744325</v>
      </c>
      <c s="993">
        <f>SUM(P70:P71)</f>
        <v>6003038.125</v>
      </c>
      <c s="993">
        <f>SUM(Q70:Q71)</f>
        <v>3286650</v>
      </c>
      <c s="994">
        <f>SUM(R70:R71)</f>
        <v>211200</v>
      </c>
      <c s="994">
        <f>SUM(S69:S72)</f>
        <v>243436.875</v>
      </c>
      <c s="995"/>
      <c s="996" t="e">
        <f>SUM(U69:U71)</f>
        <v>#REF!</v>
      </c>
      <c s="997">
        <f>K73+M73+P73</f>
        <v>24750699.805</v>
      </c>
      <c r="X73" s="998"/>
    </row>
    <row r="74" spans="1:22" ht="21.75" customHeight="1">
      <c r="A74" s="934"/>
      <c s="963"/>
      <c s="963"/>
      <c s="963"/>
      <c s="1422" t="s">
        <v>748</v>
      </c>
      <c s="1423"/>
      <c s="999">
        <f>SUM(I74:K74)</f>
        <v>27912334.549999997</v>
      </c>
      <c s="1000"/>
      <c s="1001">
        <f>+'REGISTRO ALIMENTARIO'!B128</f>
        <v>10764753.679999998</v>
      </c>
      <c s="1001">
        <f>'[2]REGISTRO ALIMENTARIO'!C161</f>
        <v>0</v>
      </c>
      <c s="1001">
        <f>+'REGISTRO ALIMENTARIO'!D128</f>
        <v>17147580.870000001</v>
      </c>
      <c s="1002"/>
      <c s="1274">
        <f>'REGISTRO ALIMENTARIO'!J128</f>
        <v>893100</v>
      </c>
      <c s="1275"/>
      <c s="1276">
        <f>O73</f>
        <v>9744325</v>
      </c>
      <c s="1001">
        <f>+P73</f>
        <v>6003038.125</v>
      </c>
      <c s="1001">
        <f>+Q73</f>
        <v>3286650</v>
      </c>
      <c s="1001">
        <f>+R73</f>
        <v>211200</v>
      </c>
      <c s="1001">
        <f>+S73</f>
        <v>243436.875</v>
      </c>
      <c s="1001"/>
      <c s="1001" t="e">
        <f>#N/A</f>
        <v>#N/A</v>
      </c>
      <c s="1135">
        <f>K74+M74+P74</f>
        <v>24043718.995000001</v>
      </c>
    </row>
    <row r="75" spans="1:22" ht="25.5" customHeight="1" hidden="1">
      <c r="A75" s="934"/>
      <c s="956"/>
      <c s="956"/>
      <c s="956"/>
      <c s="1430" t="s">
        <v>618</v>
      </c>
      <c s="1430"/>
      <c s="971" t="e">
        <f>#N/A</f>
        <v>#N/A</v>
      </c>
      <c s="1003"/>
      <c s="986">
        <v>0</v>
      </c>
      <c s="986"/>
      <c s="904">
        <f>SUM(M75:M75)</f>
        <v>0</v>
      </c>
      <c s="1003"/>
      <c s="1277">
        <v>0</v>
      </c>
      <c s="1278"/>
      <c s="1277">
        <v>0</v>
      </c>
      <c s="904"/>
      <c s="1004"/>
      <c s="1005"/>
      <c s="1005">
        <v>0</v>
      </c>
      <c s="1006"/>
      <c s="1007">
        <f>SUM(M75:S75)</f>
        <v>0</v>
      </c>
      <c s="977" t="e">
        <f>#N/A</f>
        <v>#N/A</v>
      </c>
    </row>
    <row r="76" spans="1:22" ht="60" customHeight="1" hidden="1">
      <c r="A76" s="934"/>
      <c s="956"/>
      <c s="956"/>
      <c s="956"/>
      <c s="1429" t="s">
        <v>619</v>
      </c>
      <c s="1429"/>
      <c s="971" t="e">
        <f>#N/A</f>
        <v>#N/A</v>
      </c>
      <c s="1003"/>
      <c s="986">
        <v>0</v>
      </c>
      <c s="986"/>
      <c s="904">
        <v>0</v>
      </c>
      <c s="1008"/>
      <c s="1279">
        <v>0</v>
      </c>
      <c s="1280"/>
      <c s="1279">
        <v>0</v>
      </c>
      <c s="979"/>
      <c s="981"/>
      <c s="1010"/>
      <c s="1010"/>
      <c s="1008"/>
      <c s="1011">
        <f>SUM(M76:S76)</f>
        <v>0</v>
      </c>
      <c s="977" t="e">
        <f>#N/A</f>
        <v>#N/A</v>
      </c>
    </row>
    <row r="77" spans="1:22" ht="25.5" customHeight="1">
      <c r="A77" s="934" t="s">
        <v>240</v>
      </c>
      <c s="956"/>
      <c s="956"/>
      <c s="956"/>
      <c s="1419" t="s">
        <v>751</v>
      </c>
      <c s="1420"/>
      <c s="971">
        <f>SUM(I77:K77)</f>
        <v>41868.509999999995</v>
      </c>
      <c s="1009"/>
      <c s="979">
        <f>+'REGISTRO ALIMENTARIO'!B180</f>
        <v>16147.139999999999</v>
      </c>
      <c s="979">
        <f>'[2]REGISTRO ALIMENTARIO'!C229</f>
        <v>0</v>
      </c>
      <c s="979">
        <f>+'REGISTRO ALIMENTARIO'!D180</f>
        <v>25721.369999999999</v>
      </c>
      <c s="1008"/>
      <c s="1281">
        <v>0</v>
      </c>
      <c s="1278"/>
      <c s="1281">
        <f>'[2]REGISTRO ALIMENTARIO'!J229</f>
        <v>0</v>
      </c>
      <c s="986"/>
      <c s="1012"/>
      <c s="986"/>
      <c s="986"/>
      <c s="1003"/>
      <c s="1013"/>
      <c s="977">
        <f>K77+M77+P77</f>
        <v>25721.369999999999</v>
      </c>
    </row>
    <row r="78" spans="1:22" ht="50.25" customHeight="1" hidden="1">
      <c r="A78" s="934"/>
      <c s="956"/>
      <c s="956"/>
      <c s="956"/>
      <c s="1420" t="s">
        <v>175</v>
      </c>
      <c s="1420"/>
      <c s="971" t="e">
        <f>#N/A</f>
        <v>#N/A</v>
      </c>
      <c s="1003"/>
      <c s="904">
        <v>0</v>
      </c>
      <c s="904">
        <v>0</v>
      </c>
      <c s="979" t="e">
        <f>#N/A</f>
        <v>#N/A</v>
      </c>
      <c s="1008"/>
      <c s="1277">
        <v>0</v>
      </c>
      <c s="1278"/>
      <c s="1277">
        <v>0</v>
      </c>
      <c s="904"/>
      <c s="1014"/>
      <c s="986"/>
      <c s="986"/>
      <c s="1003"/>
      <c s="1015" t="e">
        <f>#N/A</f>
        <v>#N/A</v>
      </c>
      <c s="977" t="e">
        <f t="shared" si="11" ref="V78:V103">K78+M78+P78</f>
        <v>#N/A</v>
      </c>
    </row>
    <row r="79" spans="1:22" ht="51.75" customHeight="1" hidden="1">
      <c r="A79" s="934"/>
      <c s="956"/>
      <c s="956"/>
      <c s="956"/>
      <c s="1424" t="s">
        <v>620</v>
      </c>
      <c s="1425"/>
      <c s="971" t="e">
        <f>#N/A</f>
        <v>#N/A</v>
      </c>
      <c s="1003"/>
      <c s="904">
        <v>0</v>
      </c>
      <c s="904">
        <v>0</v>
      </c>
      <c s="979" t="e">
        <f>#N/A</f>
        <v>#N/A</v>
      </c>
      <c s="1003"/>
      <c s="1277">
        <v>0</v>
      </c>
      <c s="1278"/>
      <c s="1277">
        <v>0</v>
      </c>
      <c s="904"/>
      <c s="1014"/>
      <c s="986"/>
      <c s="986">
        <v>0</v>
      </c>
      <c s="1003"/>
      <c s="1015" t="e">
        <f>#N/A</f>
        <v>#N/A</v>
      </c>
      <c s="977" t="e">
        <f t="shared" si="11"/>
        <v>#N/A</v>
      </c>
    </row>
    <row r="80" spans="1:22" ht="78" customHeight="1" hidden="1">
      <c r="A80" s="934"/>
      <c s="956"/>
      <c s="956"/>
      <c s="956"/>
      <c s="1428" t="s">
        <v>195</v>
      </c>
      <c s="1428"/>
      <c s="971" t="e">
        <f>#N/A</f>
        <v>#N/A</v>
      </c>
      <c s="1003"/>
      <c s="904">
        <v>0</v>
      </c>
      <c s="904">
        <v>0</v>
      </c>
      <c s="979" t="e">
        <f>#N/A</f>
        <v>#N/A</v>
      </c>
      <c s="1003"/>
      <c s="1277">
        <v>0</v>
      </c>
      <c s="1278"/>
      <c s="1277">
        <v>0</v>
      </c>
      <c s="904"/>
      <c s="1014"/>
      <c s="986"/>
      <c s="986">
        <v>0</v>
      </c>
      <c s="1003"/>
      <c s="1014" t="e">
        <f>#N/A</f>
        <v>#N/A</v>
      </c>
      <c s="977" t="e">
        <f t="shared" si="11"/>
        <v>#N/A</v>
      </c>
    </row>
    <row r="81" spans="1:22" ht="47.25" customHeight="1" hidden="1">
      <c r="A81" s="934"/>
      <c s="956"/>
      <c s="956"/>
      <c s="956"/>
      <c s="1420">
        <v>5</v>
      </c>
      <c s="1420"/>
      <c s="971" t="e">
        <f>#N/A</f>
        <v>#N/A</v>
      </c>
      <c s="1003"/>
      <c s="904">
        <v>0</v>
      </c>
      <c s="904">
        <v>0</v>
      </c>
      <c s="979" t="e">
        <f>#N/A</f>
        <v>#N/A</v>
      </c>
      <c s="1003"/>
      <c s="1281">
        <v>0</v>
      </c>
      <c s="1278"/>
      <c s="1281">
        <v>0</v>
      </c>
      <c s="986"/>
      <c s="1012"/>
      <c s="986"/>
      <c s="986"/>
      <c s="1003"/>
      <c s="1014" t="e">
        <f>#N/A</f>
        <v>#N/A</v>
      </c>
      <c s="977" t="e">
        <f t="shared" si="11"/>
        <v>#N/A</v>
      </c>
    </row>
    <row r="82" spans="1:22" ht="36.75" customHeight="1" hidden="1">
      <c r="A82" s="934"/>
      <c s="956"/>
      <c s="956"/>
      <c s="956"/>
      <c s="1421" t="s">
        <v>189</v>
      </c>
      <c s="1421"/>
      <c s="971" t="e">
        <f>#N/A</f>
        <v>#N/A</v>
      </c>
      <c s="1003"/>
      <c s="904"/>
      <c s="904"/>
      <c s="979" t="e">
        <f>#N/A</f>
        <v>#N/A</v>
      </c>
      <c s="1003"/>
      <c s="1281">
        <v>0</v>
      </c>
      <c s="1278"/>
      <c s="1281">
        <v>0</v>
      </c>
      <c s="986"/>
      <c s="1012"/>
      <c s="986"/>
      <c s="986">
        <v>0</v>
      </c>
      <c s="1003"/>
      <c s="1014" t="e">
        <f>#N/A</f>
        <v>#N/A</v>
      </c>
      <c s="977" t="e">
        <f t="shared" si="11"/>
        <v>#N/A</v>
      </c>
    </row>
    <row r="83" spans="1:22" ht="42.75" customHeight="1" hidden="1">
      <c r="A83" s="934"/>
      <c s="956"/>
      <c s="956"/>
      <c s="956"/>
      <c s="1100" t="s">
        <v>185</v>
      </c>
      <c s="1100"/>
      <c s="971" t="e">
        <f>#N/A</f>
        <v>#N/A</v>
      </c>
      <c s="1003"/>
      <c s="904">
        <v>0</v>
      </c>
      <c s="904">
        <v>0</v>
      </c>
      <c s="979" t="e">
        <f>#N/A</f>
        <v>#N/A</v>
      </c>
      <c s="1003"/>
      <c s="1281">
        <v>0</v>
      </c>
      <c s="1278"/>
      <c s="1281">
        <v>0</v>
      </c>
      <c s="986"/>
      <c s="1012"/>
      <c s="986"/>
      <c s="986">
        <v>0</v>
      </c>
      <c s="1003"/>
      <c s="1014" t="e">
        <f>#N/A</f>
        <v>#N/A</v>
      </c>
      <c s="977" t="e">
        <f t="shared" si="11"/>
        <v>#N/A</v>
      </c>
    </row>
    <row r="84" spans="1:22" ht="37.5" customHeight="1" hidden="1">
      <c r="A84" s="934"/>
      <c s="956"/>
      <c s="956"/>
      <c s="956"/>
      <c s="1427" t="s">
        <v>197</v>
      </c>
      <c s="1420"/>
      <c s="971" t="e">
        <f>#N/A</f>
        <v>#N/A</v>
      </c>
      <c s="1003"/>
      <c s="904">
        <v>0</v>
      </c>
      <c s="904">
        <v>0</v>
      </c>
      <c s="979" t="e">
        <f>#N/A</f>
        <v>#N/A</v>
      </c>
      <c s="1003"/>
      <c s="1281">
        <v>0</v>
      </c>
      <c s="1278"/>
      <c s="1281">
        <v>0</v>
      </c>
      <c s="986"/>
      <c s="1012"/>
      <c s="986"/>
      <c s="986"/>
      <c s="1003"/>
      <c s="1014" t="e">
        <f>#N/A</f>
        <v>#N/A</v>
      </c>
      <c s="977" t="e">
        <f t="shared" si="11"/>
        <v>#N/A</v>
      </c>
    </row>
    <row r="85" spans="1:22" ht="49.5" customHeight="1" hidden="1">
      <c r="A85" s="934"/>
      <c s="956"/>
      <c s="956"/>
      <c s="956"/>
      <c s="1016" t="s">
        <v>196</v>
      </c>
      <c s="1017"/>
      <c s="971" t="e">
        <f>#N/A</f>
        <v>#N/A</v>
      </c>
      <c s="904"/>
      <c s="904">
        <v>0</v>
      </c>
      <c s="904">
        <v>0</v>
      </c>
      <c s="979" t="e">
        <f>#N/A</f>
        <v>#N/A</v>
      </c>
      <c s="904"/>
      <c s="1277">
        <v>0</v>
      </c>
      <c s="1277"/>
      <c s="1277">
        <v>0</v>
      </c>
      <c s="904"/>
      <c s="1014"/>
      <c s="904"/>
      <c s="904">
        <v>0</v>
      </c>
      <c s="904"/>
      <c s="1014" t="e">
        <f>#N/A</f>
        <v>#N/A</v>
      </c>
      <c s="977" t="e">
        <f t="shared" si="11"/>
        <v>#N/A</v>
      </c>
    </row>
    <row r="86" spans="1:22" ht="34.5" customHeight="1" hidden="1">
      <c r="A86" s="934"/>
      <c s="956"/>
      <c s="956"/>
      <c s="956"/>
      <c s="1100" t="s">
        <v>621</v>
      </c>
      <c s="1100"/>
      <c s="971" t="e">
        <f>#N/A</f>
        <v>#N/A</v>
      </c>
      <c s="904"/>
      <c s="904">
        <v>0</v>
      </c>
      <c s="904">
        <v>0</v>
      </c>
      <c s="979" t="e">
        <f>#N/A</f>
        <v>#N/A</v>
      </c>
      <c s="904"/>
      <c s="1277">
        <v>0</v>
      </c>
      <c s="1277"/>
      <c s="1277">
        <v>0</v>
      </c>
      <c s="904"/>
      <c s="1014"/>
      <c s="904"/>
      <c s="904">
        <v>0</v>
      </c>
      <c s="904"/>
      <c s="1014" t="e">
        <f>#N/A</f>
        <v>#N/A</v>
      </c>
      <c s="977" t="e">
        <f t="shared" si="11"/>
        <v>#N/A</v>
      </c>
    </row>
    <row r="87" spans="1:22" ht="63" customHeight="1" hidden="1">
      <c r="A87" s="934"/>
      <c s="956"/>
      <c s="956"/>
      <c s="956"/>
      <c s="1100" t="s">
        <v>622</v>
      </c>
      <c s="1100"/>
      <c s="971" t="e">
        <f>#N/A</f>
        <v>#N/A</v>
      </c>
      <c s="904"/>
      <c s="904"/>
      <c s="904"/>
      <c s="979" t="e">
        <f>#N/A</f>
        <v>#N/A</v>
      </c>
      <c s="904"/>
      <c s="1277">
        <v>0</v>
      </c>
      <c s="1277"/>
      <c s="1277">
        <v>0</v>
      </c>
      <c s="904"/>
      <c s="1014"/>
      <c s="904"/>
      <c s="904"/>
      <c s="904"/>
      <c s="1014" t="e">
        <f>#N/A</f>
        <v>#N/A</v>
      </c>
      <c s="977" t="e">
        <f t="shared" si="11"/>
        <v>#N/A</v>
      </c>
    </row>
    <row r="88" spans="1:22" ht="50.25" customHeight="1" hidden="1">
      <c r="A88" s="934"/>
      <c s="956"/>
      <c s="956"/>
      <c s="956"/>
      <c s="1396" t="s">
        <v>483</v>
      </c>
      <c s="1396"/>
      <c s="1018" t="e">
        <f>#N/A</f>
        <v>#N/A</v>
      </c>
      <c s="1019"/>
      <c s="1019">
        <v>0</v>
      </c>
      <c s="1019">
        <v>0</v>
      </c>
      <c s="1178">
        <v>0</v>
      </c>
      <c s="904"/>
      <c s="1277">
        <v>0</v>
      </c>
      <c s="1277"/>
      <c s="1277">
        <v>0</v>
      </c>
      <c s="904"/>
      <c s="1014"/>
      <c s="904"/>
      <c s="904"/>
      <c s="904"/>
      <c s="1014" t="e">
        <f>#N/A</f>
        <v>#N/A</v>
      </c>
      <c s="977">
        <f t="shared" si="11"/>
        <v>0</v>
      </c>
    </row>
    <row r="89" spans="1:22" ht="42" customHeight="1" hidden="1">
      <c r="A89" s="934"/>
      <c s="956"/>
      <c s="956"/>
      <c s="956"/>
      <c s="1396" t="s">
        <v>227</v>
      </c>
      <c s="1396"/>
      <c s="971" t="e">
        <f>#N/A</f>
        <v>#N/A</v>
      </c>
      <c s="904"/>
      <c s="904">
        <v>0</v>
      </c>
      <c s="904">
        <v>0</v>
      </c>
      <c s="979" t="e">
        <f>#N/A</f>
        <v>#N/A</v>
      </c>
      <c s="904"/>
      <c s="1277">
        <v>0</v>
      </c>
      <c s="1277"/>
      <c s="1277">
        <v>0</v>
      </c>
      <c s="904"/>
      <c s="1014"/>
      <c s="904"/>
      <c s="904"/>
      <c s="904"/>
      <c s="1014"/>
      <c s="977" t="e">
        <f t="shared" si="11"/>
        <v>#N/A</v>
      </c>
    </row>
    <row r="90" spans="1:22" ht="45.75" customHeight="1" hidden="1">
      <c r="A90" s="934"/>
      <c s="956"/>
      <c s="956"/>
      <c s="956"/>
      <c s="1417" t="s">
        <v>472</v>
      </c>
      <c s="1418"/>
      <c s="971" t="e">
        <f>#N/A</f>
        <v>#N/A</v>
      </c>
      <c s="904"/>
      <c s="904">
        <v>0</v>
      </c>
      <c s="904">
        <v>0</v>
      </c>
      <c s="979">
        <v>0</v>
      </c>
      <c s="904"/>
      <c s="1277">
        <v>0</v>
      </c>
      <c s="1277"/>
      <c s="1277">
        <v>0</v>
      </c>
      <c s="904"/>
      <c s="1014"/>
      <c s="904"/>
      <c s="904"/>
      <c s="904"/>
      <c s="1014"/>
      <c s="977">
        <f t="shared" si="11"/>
        <v>0</v>
      </c>
    </row>
    <row r="91" spans="1:22" ht="42" customHeight="1" hidden="1">
      <c r="A91" s="934"/>
      <c s="956"/>
      <c s="956"/>
      <c s="956" t="s">
        <v>60</v>
      </c>
      <c s="1428" t="s">
        <v>471</v>
      </c>
      <c s="1432"/>
      <c s="1018">
        <f>SUM(I91:K91)</f>
        <v>0</v>
      </c>
      <c s="1020"/>
      <c s="1179"/>
      <c s="1179"/>
      <c s="1179"/>
      <c s="1020"/>
      <c s="1282"/>
      <c s="1282"/>
      <c s="1282">
        <v>0</v>
      </c>
      <c s="1020">
        <v>0</v>
      </c>
      <c s="1021"/>
      <c s="1020"/>
      <c s="1020"/>
      <c s="1020"/>
      <c s="1022">
        <f>SUM(M91:S91)</f>
        <v>0</v>
      </c>
      <c s="977">
        <f t="shared" si="11"/>
        <v>0</v>
      </c>
    </row>
    <row r="92" spans="1:22" ht="49.5" customHeight="1" hidden="1">
      <c r="A92" s="934"/>
      <c s="956"/>
      <c s="956"/>
      <c s="956" t="s">
        <v>60</v>
      </c>
      <c s="1396" t="s">
        <v>487</v>
      </c>
      <c s="1416"/>
      <c s="1018">
        <f>SUM(I92:K92)</f>
        <v>0</v>
      </c>
      <c s="1020"/>
      <c s="1179">
        <v>0</v>
      </c>
      <c s="1179">
        <v>0</v>
      </c>
      <c s="1179">
        <v>0</v>
      </c>
      <c s="1020"/>
      <c s="1282"/>
      <c s="1282"/>
      <c s="1282">
        <v>0</v>
      </c>
      <c s="1020">
        <v>0</v>
      </c>
      <c s="1021"/>
      <c s="1020"/>
      <c s="1020"/>
      <c s="1020"/>
      <c s="1022">
        <f>SUM(M92:S92)</f>
        <v>0</v>
      </c>
      <c s="977">
        <f t="shared" si="11"/>
        <v>0</v>
      </c>
    </row>
    <row r="93" spans="1:22" ht="50.25" customHeight="1" hidden="1">
      <c r="A93" s="934"/>
      <c s="956"/>
      <c s="956"/>
      <c s="956"/>
      <c s="1420" t="s">
        <v>467</v>
      </c>
      <c s="1420"/>
      <c s="1018"/>
      <c s="1020"/>
      <c s="1179">
        <v>0</v>
      </c>
      <c s="1179"/>
      <c s="1179"/>
      <c s="1020"/>
      <c s="1282"/>
      <c s="1282"/>
      <c s="1282"/>
      <c s="1020"/>
      <c s="1021"/>
      <c s="1020"/>
      <c s="1020"/>
      <c s="1020"/>
      <c s="1022"/>
      <c s="977">
        <f t="shared" si="11"/>
        <v>0</v>
      </c>
    </row>
    <row r="94" spans="1:22" ht="0.75" customHeight="1">
      <c r="A94" s="934"/>
      <c s="956"/>
      <c s="956"/>
      <c s="956" t="s">
        <v>60</v>
      </c>
      <c s="1419" t="s">
        <v>749</v>
      </c>
      <c s="1420"/>
      <c s="971">
        <f>SUM(I94:K94)</f>
        <v>0</v>
      </c>
      <c s="1023"/>
      <c s="1180">
        <f>'REGISTRO ALIMENTARIO'!B181</f>
        <v>0</v>
      </c>
      <c s="1180">
        <f>'[2]REGISTROS CARGOS DEL DIA'!C9</f>
        <v>0</v>
      </c>
      <c s="1180">
        <f>'REGISTRO ALIMENTARIO'!D181</f>
        <v>0</v>
      </c>
      <c s="1023"/>
      <c s="1283"/>
      <c s="1284"/>
      <c s="1283">
        <f>'[2]REGISTROS CARGOS DEL DIA'!G9</f>
        <v>0</v>
      </c>
      <c s="1024">
        <v>0</v>
      </c>
      <c s="1021"/>
      <c s="1024"/>
      <c s="1024"/>
      <c s="1023"/>
      <c s="1025">
        <f>SUM(M94:S94)</f>
        <v>0</v>
      </c>
      <c s="1186">
        <f t="shared" si="11"/>
        <v>0</v>
      </c>
    </row>
    <row r="95" spans="2:22" ht="36.75" customHeight="1" hidden="1">
      <c r="B95" s="956"/>
      <c s="956"/>
      <c s="956"/>
      <c s="1396" t="s">
        <v>502</v>
      </c>
      <c s="1396"/>
      <c s="1018">
        <f>SUM(I95:K95)</f>
        <v>0</v>
      </c>
      <c s="1026"/>
      <c s="1020"/>
      <c s="1020"/>
      <c s="1020"/>
      <c s="1023"/>
      <c s="1282">
        <f>SUM(M76:M90)</f>
        <v>0</v>
      </c>
      <c s="1284"/>
      <c s="1282">
        <f>SUM(O76:O90)</f>
        <v>0</v>
      </c>
      <c s="1020">
        <f>SUM(P76:P90)</f>
        <v>0</v>
      </c>
      <c s="1021"/>
      <c s="1020"/>
      <c s="1020">
        <f>SUM(S89:S90)</f>
        <v>0</v>
      </c>
      <c s="1023"/>
      <c s="1022"/>
      <c s="1186">
        <f t="shared" si="11"/>
        <v>0</v>
      </c>
    </row>
    <row r="96" spans="2:22" ht="29.25" customHeight="1" hidden="1">
      <c r="B96" s="956"/>
      <c s="956"/>
      <c s="956"/>
      <c s="1396" t="s">
        <v>464</v>
      </c>
      <c s="1396"/>
      <c s="1018">
        <f>+I96+J96+K96</f>
        <v>0</v>
      </c>
      <c s="1026"/>
      <c s="1020">
        <v>0</v>
      </c>
      <c s="1020">
        <v>0</v>
      </c>
      <c s="1020">
        <v>0</v>
      </c>
      <c s="1023"/>
      <c s="1282">
        <f>SUM(M77:M94)</f>
        <v>0</v>
      </c>
      <c s="1284"/>
      <c s="1282">
        <f>SUM(O77:O94)</f>
        <v>0</v>
      </c>
      <c s="1020">
        <f>SUM(P77:P94)</f>
        <v>0</v>
      </c>
      <c s="1021"/>
      <c s="1020"/>
      <c s="1020">
        <f>SUM(S90:S94)</f>
        <v>0</v>
      </c>
      <c s="1023"/>
      <c s="1022"/>
      <c s="1186">
        <f t="shared" si="11"/>
        <v>0</v>
      </c>
    </row>
    <row r="97" spans="2:22" ht="38.25" customHeight="1" hidden="1">
      <c r="B97" s="956"/>
      <c s="956"/>
      <c s="956"/>
      <c s="1396" t="s">
        <v>462</v>
      </c>
      <c s="1396"/>
      <c s="971" t="e">
        <f>#N/A</f>
        <v>#N/A</v>
      </c>
      <c s="1027"/>
      <c s="904">
        <v>0</v>
      </c>
      <c s="904">
        <v>0</v>
      </c>
      <c s="904"/>
      <c s="904"/>
      <c s="1277">
        <v>0</v>
      </c>
      <c s="1285"/>
      <c s="1277"/>
      <c s="904"/>
      <c s="1014"/>
      <c s="904"/>
      <c s="904"/>
      <c s="904"/>
      <c s="1014"/>
      <c s="1186">
        <f t="shared" si="11"/>
        <v>0</v>
      </c>
    </row>
    <row r="98" spans="2:22" ht="42" customHeight="1" hidden="1">
      <c r="B98" s="956"/>
      <c s="956"/>
      <c s="956"/>
      <c s="1387" t="s">
        <v>473</v>
      </c>
      <c s="1388"/>
      <c s="971">
        <f>SUM(I98:K98)</f>
        <v>0</v>
      </c>
      <c s="1027"/>
      <c s="904"/>
      <c s="904"/>
      <c s="904"/>
      <c s="904"/>
      <c s="1277"/>
      <c s="1285"/>
      <c s="1277"/>
      <c s="904"/>
      <c s="1014"/>
      <c s="904"/>
      <c s="904"/>
      <c s="904"/>
      <c s="1014"/>
      <c s="1186">
        <f t="shared" si="11"/>
        <v>0</v>
      </c>
    </row>
    <row r="99" spans="2:22" ht="27" customHeight="1" hidden="1">
      <c r="B99" s="956"/>
      <c s="956"/>
      <c s="956"/>
      <c s="1396" t="s">
        <v>639</v>
      </c>
      <c s="1416"/>
      <c s="971">
        <f>SUM(I99:K99)</f>
        <v>0</v>
      </c>
      <c s="1027"/>
      <c s="904">
        <v>0</v>
      </c>
      <c s="904">
        <v>0</v>
      </c>
      <c s="904">
        <v>0</v>
      </c>
      <c s="904"/>
      <c s="1277">
        <v>0</v>
      </c>
      <c s="1285"/>
      <c s="1277"/>
      <c s="904"/>
      <c s="1014"/>
      <c s="904"/>
      <c s="904"/>
      <c s="904"/>
      <c s="1014"/>
      <c s="1186">
        <f t="shared" si="11"/>
        <v>0</v>
      </c>
    </row>
    <row r="100" spans="2:22" ht="38.25" customHeight="1" hidden="1">
      <c r="B100" s="956"/>
      <c s="956"/>
      <c s="956"/>
      <c s="1387" t="s">
        <v>501</v>
      </c>
      <c s="1388"/>
      <c s="971">
        <f t="shared" si="12" ref="G100:G106">SUM(I100:K100)</f>
        <v>0</v>
      </c>
      <c s="1027"/>
      <c s="904">
        <v>0</v>
      </c>
      <c s="904">
        <v>0</v>
      </c>
      <c s="904">
        <v>0</v>
      </c>
      <c s="904"/>
      <c s="1277">
        <v>0</v>
      </c>
      <c s="1285"/>
      <c s="1277"/>
      <c s="904"/>
      <c s="1014"/>
      <c s="904"/>
      <c s="904"/>
      <c s="904"/>
      <c s="1014"/>
      <c s="1186">
        <f>K100+M100+P100</f>
        <v>0</v>
      </c>
    </row>
    <row r="101" spans="2:25" ht="47.25" customHeight="1" hidden="1">
      <c r="B101" s="956"/>
      <c s="956"/>
      <c s="956"/>
      <c s="1417" t="s">
        <v>490</v>
      </c>
      <c s="1418"/>
      <c s="971">
        <f t="shared" si="12"/>
        <v>0</v>
      </c>
      <c s="1028">
        <v>175</v>
      </c>
      <c s="1028">
        <v>0</v>
      </c>
      <c s="1028">
        <v>0</v>
      </c>
      <c s="1028">
        <v>0</v>
      </c>
      <c s="1027"/>
      <c s="1277">
        <v>0</v>
      </c>
      <c s="1285"/>
      <c s="1277"/>
      <c s="904"/>
      <c s="1014"/>
      <c s="904"/>
      <c s="904"/>
      <c s="1027"/>
      <c s="1013"/>
      <c s="1186">
        <f t="shared" si="11"/>
        <v>0</v>
      </c>
      <c r="Y101" s="1029"/>
    </row>
    <row r="102" spans="2:25" ht="57" customHeight="1" hidden="1">
      <c r="B102" s="956"/>
      <c s="956"/>
      <c s="956"/>
      <c s="1417" t="s">
        <v>491</v>
      </c>
      <c s="1418"/>
      <c s="971">
        <f t="shared" si="12"/>
        <v>0</v>
      </c>
      <c s="1030"/>
      <c s="1024">
        <v>0</v>
      </c>
      <c s="1024">
        <v>0</v>
      </c>
      <c s="1024">
        <v>0</v>
      </c>
      <c s="1027"/>
      <c s="1277"/>
      <c s="1285"/>
      <c s="1277"/>
      <c s="904"/>
      <c s="1014"/>
      <c s="904"/>
      <c s="904"/>
      <c s="1027"/>
      <c s="1014"/>
      <c s="1186">
        <f t="shared" si="11"/>
        <v>0</v>
      </c>
      <c r="Y102" s="1029">
        <f>V69+V70+V71</f>
        <v>24750699.805</v>
      </c>
    </row>
    <row r="103" spans="2:25" ht="42.75" customHeight="1" hidden="1">
      <c r="B103" s="956"/>
      <c s="956"/>
      <c s="956"/>
      <c s="1031" t="s">
        <v>646</v>
      </c>
      <c s="1032"/>
      <c s="971">
        <f t="shared" si="12"/>
        <v>0</v>
      </c>
      <c s="904">
        <v>175</v>
      </c>
      <c s="904">
        <v>0</v>
      </c>
      <c s="904">
        <v>0</v>
      </c>
      <c s="904">
        <v>0</v>
      </c>
      <c s="1027">
        <v>0</v>
      </c>
      <c s="1277"/>
      <c s="1285"/>
      <c s="1277"/>
      <c s="904"/>
      <c s="1014"/>
      <c s="904"/>
      <c s="904"/>
      <c s="1027"/>
      <c s="1013"/>
      <c s="1186">
        <f t="shared" si="11"/>
        <v>0</v>
      </c>
      <c r="Y103" s="1033">
        <f>V74+V96+V102+V103</f>
        <v>24043718.995000001</v>
      </c>
    </row>
    <row r="104" spans="2:22" ht="50.25" customHeight="1" hidden="1">
      <c r="B104" s="956"/>
      <c s="956"/>
      <c s="956"/>
      <c s="1396" t="s">
        <v>626</v>
      </c>
      <c s="1396"/>
      <c s="971">
        <f t="shared" si="12"/>
        <v>0</v>
      </c>
      <c s="1034"/>
      <c s="1035"/>
      <c s="1035"/>
      <c s="1035"/>
      <c s="1036"/>
      <c s="1286">
        <f>SUM(M80:M102)</f>
        <v>0</v>
      </c>
      <c s="1286"/>
      <c s="1286">
        <f>SUM(O80:O102)</f>
        <v>0</v>
      </c>
      <c s="1036">
        <f>SUM(P80:P102)</f>
        <v>0</v>
      </c>
      <c s="1036"/>
      <c s="1036"/>
      <c s="1036">
        <f>SUM(S101:S102)</f>
        <v>0</v>
      </c>
      <c s="1036"/>
      <c s="1037"/>
      <c s="1187">
        <f t="shared" si="13" ref="V104:V112">K104+M104+P104</f>
        <v>0</v>
      </c>
    </row>
    <row r="105" spans="2:22" ht="42.75" customHeight="1" hidden="1">
      <c r="B105" s="956"/>
      <c s="956"/>
      <c s="956"/>
      <c s="1396" t="s">
        <v>627</v>
      </c>
      <c s="1396"/>
      <c s="971">
        <f t="shared" si="12"/>
        <v>0</v>
      </c>
      <c s="1034"/>
      <c s="1035"/>
      <c s="1035"/>
      <c s="1035"/>
      <c s="1036"/>
      <c s="1286"/>
      <c s="1286"/>
      <c s="1286"/>
      <c s="1036"/>
      <c s="1036"/>
      <c s="1036"/>
      <c s="1036"/>
      <c s="1036"/>
      <c s="1037"/>
      <c s="1187">
        <f t="shared" si="13"/>
        <v>0</v>
      </c>
    </row>
    <row r="106" spans="2:22" ht="40.5" customHeight="1" hidden="1">
      <c r="B106" s="956"/>
      <c s="956"/>
      <c s="956"/>
      <c s="1396" t="s">
        <v>642</v>
      </c>
      <c s="1396"/>
      <c s="991">
        <f t="shared" si="12"/>
        <v>0</v>
      </c>
      <c s="1034"/>
      <c s="1035">
        <v>0</v>
      </c>
      <c s="1035">
        <v>0</v>
      </c>
      <c s="1035">
        <v>0</v>
      </c>
      <c s="1036"/>
      <c s="1286"/>
      <c s="1286"/>
      <c s="1286"/>
      <c s="1036"/>
      <c s="1036"/>
      <c s="1036"/>
      <c s="1036"/>
      <c s="1036"/>
      <c s="1037"/>
      <c s="1187">
        <f t="shared" si="13"/>
        <v>0</v>
      </c>
    </row>
    <row r="107" spans="2:22" ht="35.25" customHeight="1" hidden="1">
      <c r="B107" s="956"/>
      <c s="956"/>
      <c s="956"/>
      <c s="1396" t="s">
        <v>647</v>
      </c>
      <c s="1416"/>
      <c s="971">
        <f>SUM(I107:K107)</f>
        <v>0</v>
      </c>
      <c s="1038"/>
      <c s="1039">
        <v>0</v>
      </c>
      <c s="1039">
        <v>0</v>
      </c>
      <c s="1039">
        <v>0</v>
      </c>
      <c s="1021"/>
      <c s="1287"/>
      <c s="1287"/>
      <c s="1287"/>
      <c s="1021"/>
      <c s="1021"/>
      <c s="1021"/>
      <c s="1021"/>
      <c s="1021"/>
      <c s="1025"/>
      <c s="1188">
        <f>K107+M107+P107</f>
        <v>0</v>
      </c>
    </row>
    <row r="108" spans="2:22" ht="53.25" customHeight="1" hidden="1">
      <c r="B108" s="956"/>
      <c s="956"/>
      <c s="956"/>
      <c s="1387" t="s">
        <v>644</v>
      </c>
      <c s="1387"/>
      <c s="971">
        <f>SUM(I108:K108)</f>
        <v>0</v>
      </c>
      <c s="1038"/>
      <c s="1039">
        <v>0</v>
      </c>
      <c s="1039">
        <v>0</v>
      </c>
      <c s="1039">
        <v>0</v>
      </c>
      <c s="1021"/>
      <c s="1287"/>
      <c s="1287"/>
      <c s="1287"/>
      <c s="1021"/>
      <c s="1021"/>
      <c s="1021"/>
      <c s="1021"/>
      <c s="1021"/>
      <c s="1025"/>
      <c s="1188">
        <f t="shared" si="13"/>
        <v>0</v>
      </c>
    </row>
    <row r="109" spans="2:22" ht="45.75" customHeight="1" hidden="1">
      <c r="B109" s="956"/>
      <c s="956"/>
      <c s="956"/>
      <c s="1396" t="s">
        <v>631</v>
      </c>
      <c s="1396"/>
      <c s="991"/>
      <c s="1034"/>
      <c s="1035"/>
      <c s="1035"/>
      <c s="1035"/>
      <c s="1036"/>
      <c s="1286"/>
      <c s="1286"/>
      <c s="1286"/>
      <c s="1036"/>
      <c s="1036"/>
      <c s="1036"/>
      <c s="1036"/>
      <c s="1036"/>
      <c s="1037"/>
      <c s="1187">
        <f t="shared" si="13"/>
        <v>0</v>
      </c>
    </row>
    <row r="110" spans="2:22" ht="30" customHeight="1" hidden="1">
      <c r="B110" s="956"/>
      <c s="956"/>
      <c s="956"/>
      <c s="1396" t="s">
        <v>649</v>
      </c>
      <c s="1396"/>
      <c s="993">
        <f>+K110+J110+I110</f>
        <v>0</v>
      </c>
      <c s="1036"/>
      <c s="1035"/>
      <c s="1035"/>
      <c s="1035">
        <v>0</v>
      </c>
      <c s="1036"/>
      <c s="1286"/>
      <c s="1286"/>
      <c s="1286"/>
      <c s="1036"/>
      <c s="1036"/>
      <c s="1036"/>
      <c s="1036"/>
      <c s="1036"/>
      <c s="1037"/>
      <c s="1187">
        <f t="shared" si="13"/>
        <v>0</v>
      </c>
    </row>
    <row r="111" spans="2:22" ht="65.25" customHeight="1" hidden="1">
      <c r="B111" s="956"/>
      <c s="956"/>
      <c s="956"/>
      <c s="1396" t="s">
        <v>630</v>
      </c>
      <c s="1396"/>
      <c s="1014"/>
      <c s="1021"/>
      <c s="1039"/>
      <c s="1039"/>
      <c s="1039"/>
      <c s="1021"/>
      <c s="1287"/>
      <c s="1287"/>
      <c s="1287"/>
      <c s="1021"/>
      <c s="1021"/>
      <c s="1021"/>
      <c s="1021"/>
      <c s="1021"/>
      <c s="1025"/>
      <c s="1188">
        <f t="shared" si="13"/>
        <v>0</v>
      </c>
    </row>
    <row r="112" spans="1:22" ht="44.25" customHeight="1" hidden="1">
      <c r="A112" s="934"/>
      <c s="956"/>
      <c s="956"/>
      <c s="956" t="s">
        <v>60</v>
      </c>
      <c s="1396" t="s">
        <v>628</v>
      </c>
      <c s="1396"/>
      <c s="1014"/>
      <c s="1021"/>
      <c s="1039"/>
      <c s="1039"/>
      <c s="1039"/>
      <c s="1021"/>
      <c s="1287"/>
      <c s="1287"/>
      <c s="1287">
        <v>0</v>
      </c>
      <c s="1021">
        <v>0</v>
      </c>
      <c s="1021"/>
      <c s="1021"/>
      <c s="1021"/>
      <c s="1021"/>
      <c s="1025">
        <f>SUM(M112:S112)</f>
        <v>0</v>
      </c>
      <c s="1188">
        <f t="shared" si="13"/>
        <v>0</v>
      </c>
    </row>
    <row r="113" spans="1:22" ht="31.5" customHeight="1">
      <c r="A113" s="934"/>
      <c s="956"/>
      <c s="956"/>
      <c s="956"/>
      <c s="1396" t="s">
        <v>672</v>
      </c>
      <c s="1396"/>
      <c s="1014">
        <f>+I113+J113+K113</f>
        <v>735</v>
      </c>
      <c s="1021"/>
      <c s="1039"/>
      <c s="1039"/>
      <c s="1039">
        <v>735</v>
      </c>
      <c s="1021"/>
      <c s="1287"/>
      <c s="1287"/>
      <c s="1287"/>
      <c s="1021"/>
      <c s="1021"/>
      <c s="1021"/>
      <c s="1021"/>
      <c s="1021"/>
      <c s="1025"/>
      <c s="1188"/>
    </row>
    <row r="114" spans="1:22" ht="31.5" customHeight="1">
      <c r="A114" s="934"/>
      <c s="956"/>
      <c s="956"/>
      <c s="956"/>
      <c s="1396" t="s">
        <v>666</v>
      </c>
      <c s="1396"/>
      <c s="1014">
        <f>+I114+J114+K114</f>
        <v>735</v>
      </c>
      <c s="1021"/>
      <c s="985"/>
      <c s="985"/>
      <c s="1183">
        <v>735</v>
      </c>
      <c s="1021"/>
      <c s="1287"/>
      <c s="1287"/>
      <c s="1287"/>
      <c s="1021"/>
      <c s="1021"/>
      <c s="1021"/>
      <c s="1021"/>
      <c s="1021"/>
      <c s="1025"/>
      <c s="1188"/>
    </row>
    <row r="115" spans="1:22" ht="36.75" customHeight="1">
      <c r="A115" s="934"/>
      <c s="956"/>
      <c s="956"/>
      <c s="956"/>
      <c s="1396" t="s">
        <v>701</v>
      </c>
      <c s="1396"/>
      <c s="1014">
        <f>+I115+J115+K115</f>
        <v>700</v>
      </c>
      <c s="1021"/>
      <c s="985"/>
      <c s="985"/>
      <c s="1183">
        <v>700</v>
      </c>
      <c s="1021"/>
      <c s="1287"/>
      <c s="1287"/>
      <c s="1287"/>
      <c s="1021"/>
      <c s="1021"/>
      <c s="1021"/>
      <c s="1021"/>
      <c s="1021"/>
      <c s="1025"/>
      <c s="1188"/>
    </row>
    <row r="116" spans="1:22" ht="45.75" customHeight="1">
      <c r="A116" s="934"/>
      <c s="956"/>
      <c s="956"/>
      <c s="956"/>
      <c s="1396" t="s">
        <v>667</v>
      </c>
      <c s="1396"/>
      <c s="1014">
        <f>+I116+J116+K116</f>
        <v>28160</v>
      </c>
      <c s="1021"/>
      <c s="985">
        <v>8800</v>
      </c>
      <c s="985">
        <v>800</v>
      </c>
      <c s="1183">
        <v>18560</v>
      </c>
      <c s="1021"/>
      <c s="1287"/>
      <c s="1287"/>
      <c s="1287"/>
      <c s="1021"/>
      <c s="1021"/>
      <c s="1021"/>
      <c s="1021"/>
      <c s="1021"/>
      <c s="1025"/>
      <c s="1188"/>
    </row>
    <row r="117" spans="1:22" ht="30" customHeight="1">
      <c r="A117" s="934"/>
      <c s="956"/>
      <c s="956"/>
      <c s="956"/>
      <c s="1387" t="s">
        <v>740</v>
      </c>
      <c s="1388"/>
      <c s="1014">
        <f>+I117+J117+K117</f>
        <v>175</v>
      </c>
      <c s="1021"/>
      <c s="1039"/>
      <c s="1039"/>
      <c s="1039">
        <v>175</v>
      </c>
      <c s="1021"/>
      <c s="1287"/>
      <c s="1287"/>
      <c s="1287"/>
      <c s="1021"/>
      <c s="1021"/>
      <c s="1021"/>
      <c s="1021"/>
      <c s="1021"/>
      <c s="1025"/>
      <c s="1188"/>
    </row>
    <row r="118" spans="1:25" ht="47.25" customHeight="1" thickBot="1">
      <c r="A118" s="934"/>
      <c s="963"/>
      <c s="963"/>
      <c s="963"/>
      <c s="1098" t="s">
        <v>284</v>
      </c>
      <c s="872"/>
      <c s="1040">
        <f>SUM(I118:K118)</f>
        <v>16890068.09</v>
      </c>
      <c s="1041"/>
      <c s="1042">
        <f>I73-I74-I77-I94-I104-I105-I106-I110-I108-I114-I116-I115</f>
        <v>408060.57000000274</v>
      </c>
      <c s="1042">
        <f>+J73-J74-J77-J94-J113-J114-J116-J117-J115</f>
        <v>15827683.08</v>
      </c>
      <c s="1042">
        <f>K73-K74-K77-K94-K110-K114-K116+K113-K117-K115</f>
        <v>654324.43999999866</v>
      </c>
      <c s="1043"/>
      <c s="1288">
        <f>M73-M74</f>
        <v>7500</v>
      </c>
      <c s="1289"/>
      <c s="1290">
        <f>O73-O74-O96</f>
        <v>0</v>
      </c>
      <c s="1042">
        <f>P73-P74-P96</f>
        <v>0</v>
      </c>
      <c s="1042">
        <f>Q73-Q74-Q96</f>
        <v>0</v>
      </c>
      <c s="1042">
        <f>R73-R74-R96</f>
        <v>0</v>
      </c>
      <c s="1040">
        <f>S73-S74-S96</f>
        <v>0</v>
      </c>
      <c s="1044"/>
      <c s="1045" t="e">
        <f>U73-U74-U96</f>
        <v>#REF!</v>
      </c>
      <c s="1046">
        <f>V73-V74-V77-V94-V99-V103</f>
        <v>681259.43999999866</v>
      </c>
      <c r="X118" s="998"/>
      <c s="1047"/>
    </row>
    <row r="119" spans="1:22" ht="21" customHeight="1">
      <c r="A119" s="870"/>
      <c s="956"/>
      <c s="956"/>
      <c s="956"/>
      <c s="957"/>
      <c s="958"/>
      <c s="959"/>
      <c s="958"/>
      <c s="958"/>
      <c s="958"/>
      <c s="960"/>
      <c s="960"/>
      <c s="961"/>
      <c s="961"/>
      <c s="961"/>
      <c s="961"/>
      <c s="961"/>
      <c s="961"/>
      <c s="870"/>
      <c s="870"/>
      <c r="V119" s="938"/>
    </row>
    <row r="120" spans="1:22" ht="22.5" customHeight="1">
      <c r="A120" s="870"/>
      <c s="956"/>
      <c s="956"/>
      <c s="956"/>
      <c s="957"/>
      <c s="958"/>
      <c s="959"/>
      <c s="958"/>
      <c s="958"/>
      <c s="958"/>
      <c s="958"/>
      <c s="960"/>
      <c s="961"/>
      <c s="961"/>
      <c s="961"/>
      <c s="961"/>
      <c s="961"/>
      <c s="961"/>
      <c s="870"/>
      <c s="870"/>
      <c r="V120" s="938"/>
    </row>
    <row r="121" spans="1:25" ht="23.25" customHeight="1">
      <c r="A121" s="870"/>
      <c s="956"/>
      <c s="956"/>
      <c s="956"/>
      <c s="957"/>
      <c s="958" t="s">
        <v>60</v>
      </c>
      <c s="959"/>
      <c s="958"/>
      <c s="958"/>
      <c s="958"/>
      <c s="958"/>
      <c s="960"/>
      <c s="961"/>
      <c s="961"/>
      <c s="961"/>
      <c s="961"/>
      <c s="961"/>
      <c r="S121" s="1048"/>
      <c s="870"/>
      <c r="V121" s="938"/>
      <c r="Y121" s="998"/>
    </row>
    <row r="122" spans="4:22" s="1049" customFormat="1" ht="39.75" customHeight="1">
      <c r="D122" s="1050"/>
      <c s="1051"/>
      <c s="1052"/>
      <c s="1053"/>
      <c s="1052"/>
      <c s="1052"/>
      <c s="1052"/>
      <c s="1052"/>
      <c s="1054"/>
      <c s="1052"/>
      <c s="1052"/>
      <c s="1052"/>
      <c s="1052"/>
      <c s="1052"/>
      <c s="1052"/>
      <c s="1055"/>
      <c r="V122" s="1056"/>
    </row>
    <row r="123" spans="1:22" ht="22.5" customHeight="1">
      <c r="A123" s="870"/>
      <c r="D123" s="1057"/>
      <c s="957"/>
      <c s="958" t="s">
        <v>60</v>
      </c>
      <c s="959"/>
      <c s="958"/>
      <c s="958"/>
      <c s="958"/>
      <c s="958"/>
      <c s="960"/>
      <c s="961"/>
      <c s="961"/>
      <c s="961"/>
      <c s="945"/>
      <c s="945"/>
      <c s="945"/>
      <c s="1048"/>
      <c s="870"/>
      <c r="V123" s="938"/>
    </row>
    <row r="124" spans="1:22" ht="16.5" customHeight="1">
      <c r="A124" s="870"/>
      <c r="D124" s="1057"/>
      <c s="957"/>
      <c s="958"/>
      <c s="1104"/>
      <c s="958"/>
      <c s="958"/>
      <c s="958"/>
      <c s="958"/>
      <c s="960"/>
      <c s="961"/>
      <c s="961"/>
      <c s="961"/>
      <c s="961"/>
      <c s="961"/>
      <c s="961"/>
      <c s="1048"/>
      <c s="870"/>
      <c s="998"/>
      <c s="938"/>
    </row>
    <row r="125" spans="1:22" ht="25.5" customHeight="1">
      <c r="A125" s="870"/>
      <c r="D125" s="1057"/>
      <c s="957"/>
      <c s="958"/>
      <c s="959"/>
      <c s="958"/>
      <c s="958"/>
      <c s="958"/>
      <c s="958"/>
      <c s="960"/>
      <c s="961"/>
      <c s="961"/>
      <c s="961"/>
      <c s="961"/>
      <c s="961"/>
      <c s="961"/>
      <c s="1048"/>
      <c s="870"/>
      <c r="V125" s="938"/>
    </row>
    <row r="126" spans="9:16" ht="23.25" customHeight="1">
      <c r="I126" s="998"/>
      <c s="998"/>
      <c s="998"/>
      <c r="P126" s="998"/>
    </row>
    <row r="127" spans="7:16" ht="12.75">
      <c r="G127" s="962"/>
      <c r="I127" s="998"/>
      <c r="P127" s="998"/>
    </row>
    <row r="128" spans="1:21" s="910" customFormat="1" ht="18">
      <c r="A128" s="1058"/>
      <c s="1058"/>
      <c s="1058"/>
      <c s="1059" t="s">
        <v>414</v>
      </c>
      <c r="F128" s="1411" t="s">
        <v>457</v>
      </c>
      <c s="1411"/>
      <c s="1411"/>
      <c s="1411" t="s">
        <v>488</v>
      </c>
      <c s="1411"/>
      <c r="L128" s="1059"/>
      <c s="1059"/>
      <c r="O128" s="1059" t="s">
        <v>637</v>
      </c>
      <c s="1060"/>
      <c r="R128" s="1059"/>
      <c s="1059"/>
      <c s="1059" t="s">
        <v>634</v>
      </c>
      <c s="1059" t="s">
        <v>376</v>
      </c>
    </row>
    <row r="129" spans="1:21" s="1065" customFormat="1" ht="18">
      <c r="A129" s="1061"/>
      <c s="1062"/>
      <c s="1062"/>
      <c s="1063" t="s">
        <v>159</v>
      </c>
      <c s="869"/>
      <c s="1413" t="s">
        <v>6</v>
      </c>
      <c s="1413"/>
      <c s="1413"/>
      <c s="1064"/>
      <c s="1064" t="s">
        <v>165</v>
      </c>
      <c s="869"/>
      <c s="1064"/>
      <c s="1064"/>
      <c s="869"/>
      <c s="1064" t="s">
        <v>364</v>
      </c>
      <c s="998"/>
      <c s="869"/>
      <c s="1064"/>
      <c s="1064"/>
      <c s="1064" t="s">
        <v>635</v>
      </c>
      <c s="1064" t="s">
        <v>377</v>
      </c>
    </row>
    <row r="130" spans="1:21" s="1065" customFormat="1" ht="18">
      <c r="A130" s="1066"/>
      <c s="1067"/>
      <c s="1067"/>
      <c s="1067"/>
      <c s="1063"/>
      <c s="1426" t="s">
        <v>63</v>
      </c>
      <c s="1426"/>
      <c s="1426"/>
      <c s="1063"/>
      <c s="1063" t="s">
        <v>7</v>
      </c>
      <c s="870"/>
      <c s="870"/>
      <c s="870"/>
      <c r="O130" s="1116" t="s">
        <v>636</v>
      </c>
      <c r="R130" s="1063"/>
      <c s="1063"/>
      <c s="1063" t="s">
        <v>65</v>
      </c>
      <c s="1063" t="s">
        <v>65</v>
      </c>
    </row>
    <row r="131" spans="11:19" ht="18">
      <c r="K131" s="870"/>
      <c r="M131" s="998"/>
      <c r="R131" s="1066"/>
      <c s="1063"/>
    </row>
    <row r="132" spans="7:13" ht="12.75">
      <c r="G132" s="962"/>
      <c r="I132" s="998"/>
      <c s="998"/>
      <c s="998"/>
      <c r="M132" s="998"/>
    </row>
    <row r="133" spans="1:23" s="1065" customFormat="1" ht="18">
      <c r="A133" s="1066"/>
      <c s="1067"/>
      <c s="1067"/>
      <c s="1067"/>
      <c s="1066"/>
      <c s="1068"/>
      <c s="1069"/>
      <c s="1066"/>
      <c s="1070"/>
      <c s="1070"/>
      <c s="1070"/>
      <c s="1067"/>
      <c s="1066"/>
      <c r="O133" s="869"/>
      <c s="869"/>
      <c s="869"/>
      <c s="869"/>
      <c r="U133" s="869"/>
      <c s="1066"/>
      <c s="1066"/>
    </row>
    <row r="134" spans="9:15" ht="12.75">
      <c r="I134" s="998"/>
      <c r="O134" s="998">
        <f>+I91-K91</f>
        <v>0</v>
      </c>
    </row>
    <row r="135" spans="5:13" ht="15">
      <c r="E135" s="957"/>
      <c s="958"/>
      <c s="959"/>
      <c s="958"/>
      <c s="958"/>
      <c s="998"/>
      <c s="998"/>
      <c r="M135" s="998"/>
    </row>
    <row r="136" spans="5:13" ht="15">
      <c r="E136" s="957"/>
      <c s="958"/>
      <c s="959"/>
      <c s="958"/>
      <c s="958"/>
      <c r="K136" s="998"/>
      <c r="M136" s="998"/>
    </row>
    <row r="137" spans="11:13" ht="12.75">
      <c r="K137" s="998"/>
      <c r="M137" s="998"/>
    </row>
    <row r="138" spans="3:13" ht="14.25">
      <c r="C138" s="853"/>
      <c r="K138" s="998"/>
      <c r="M138" s="998"/>
    </row>
    <row r="139" spans="3:13" ht="14.25">
      <c r="C139" s="1107"/>
      <c r="M139" s="998"/>
    </row>
    <row r="140" spans="3:13" ht="14.25">
      <c r="C140" s="852"/>
      <c r="I140" s="998"/>
      <c r="M140" s="998"/>
    </row>
  </sheetData>
  <mergeCells count="64">
    <mergeCell ref="E96:F96"/>
    <mergeCell ref="E90:F90"/>
    <mergeCell ref="E112:F112"/>
    <mergeCell ref="I128:J128"/>
    <mergeCell ref="E88:F88"/>
    <mergeCell ref="E73:F73"/>
    <mergeCell ref="E91:F91"/>
    <mergeCell ref="E92:F92"/>
    <mergeCell ref="E95:F95"/>
    <mergeCell ref="E102:F102"/>
    <mergeCell ref="E105:F105"/>
    <mergeCell ref="E109:F109"/>
    <mergeCell ref="E111:F111"/>
    <mergeCell ref="E110:F110"/>
    <mergeCell ref="E98:F98"/>
    <mergeCell ref="E104:F104"/>
    <mergeCell ref="E100:F100"/>
    <mergeCell ref="E113:F113"/>
    <mergeCell ref="F128:H128"/>
    <mergeCell ref="C9:C10"/>
    <mergeCell ref="E76:F76"/>
    <mergeCell ref="E75:F75"/>
    <mergeCell ref="E72:F72"/>
    <mergeCell ref="D9:D10"/>
    <mergeCell ref="E69:F69"/>
    <mergeCell ref="E53:F53"/>
    <mergeCell ref="E93:F93"/>
    <mergeCell ref="A9:A10"/>
    <mergeCell ref="B9:B10"/>
    <mergeCell ref="F130:H130"/>
    <mergeCell ref="E49:F49"/>
    <mergeCell ref="E97:F97"/>
    <mergeCell ref="E84:F84"/>
    <mergeCell ref="E80:F80"/>
    <mergeCell ref="E99:F99"/>
    <mergeCell ref="F129:H129"/>
    <mergeCell ref="E78:F78"/>
    <mergeCell ref="A2:T2"/>
    <mergeCell ref="A3:T3"/>
    <mergeCell ref="A4:T4"/>
    <mergeCell ref="A5:T5"/>
    <mergeCell ref="A6:T6"/>
    <mergeCell ref="A8:M8"/>
    <mergeCell ref="P8:S8"/>
    <mergeCell ref="V9:V10"/>
    <mergeCell ref="E81:F81"/>
    <mergeCell ref="P9:S9"/>
    <mergeCell ref="E82:F82"/>
    <mergeCell ref="E77:F77"/>
    <mergeCell ref="E74:F74"/>
    <mergeCell ref="T9:T10"/>
    <mergeCell ref="U9:U10"/>
    <mergeCell ref="E79:F79"/>
    <mergeCell ref="I9:K9"/>
    <mergeCell ref="E115:F115"/>
    <mergeCell ref="E114:F114"/>
    <mergeCell ref="E117:F117"/>
    <mergeCell ref="E116:F116"/>
    <mergeCell ref="E89:F89"/>
    <mergeCell ref="E107:F107"/>
    <mergeCell ref="E106:F106"/>
    <mergeCell ref="E108:F108"/>
    <mergeCell ref="E101:F101"/>
    <mergeCell ref="E94:F94"/>
  </mergeCells>
  <pageMargins left="0" right="0" top="0.15748031496063" bottom="0" header="0" footer="0.15748031496063"/>
  <pageSetup fitToHeight="0" orientation="landscape" paperSize="5" scale="35" r:id="rId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14.0000</AppVers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MOVIMIENTOS DEL DIA</vt:lpstr>
      <vt:lpstr>CONC. MOV</vt:lpstr>
      <vt:lpstr>CONCILIACION </vt:lpstr>
      <vt:lpstr>REGISTROS CARGOS DEL DIA</vt:lpstr>
      <vt:lpstr>REGISTRO TRAMITES DEL DIA </vt:lpstr>
      <vt:lpstr>REGISTRO ALIMENTARIO</vt:lpstr>
      <vt:lpstr>FIDEICOMISO</vt:lpstr>
      <vt:lpstr>OAI </vt:lpstr>
      <vt:lpstr>INGRESOS ACUMULADOS </vt:lpstr>
      <vt:lpstr>,,</vt:lpstr>
      <vt:lpstr>R POR CTA.</vt:lpstr>
      <vt:lpstr>R X CTAS </vt:lpstr>
      <vt:lpstr>PAGOS EN LINEAS</vt:lpstr>
      <vt:lpstr>prueba formulas 1 </vt:lpstr>
      <vt:lpstr>viejo </vt:lpstr>
      <vt:lpstr>Gráfico1</vt:lpstr>
      <vt:lpstr>ING. CAJA GRAL. MIP DEL DIA</vt:lpstr>
      <vt:lpstr>PENDT</vt:lpstr>
      <vt:lpstr>LIBRO TRAMITES</vt:lpstr>
      <vt:lpstr>SIRITE</vt:lpstr>
      <vt:lpstr>SOLO P. RESUMEN</vt:lpstr>
      <vt:lpstr>COORD. FIN</vt:lpstr>
      <vt:lpstr>ING SIRITE</vt:lpstr>
      <vt:lpstr> DGII</vt:lpstr>
      <vt:lpstr>Hoja1</vt:lpstr>
    </vt:vector>
  </TitlesOfParts>
  <Template/>
  <Manager/>
  <Company>SEIP</Company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Martirys Peña</dc:creator>
  <cp:keywords/>
  <dc:description/>
  <cp:lastModifiedBy>Melvin Montero</cp:lastModifiedBy>
  <cp:lastPrinted>2025-04-02T14:51:11Z</cp:lastPrinted>
  <dcterms:created xsi:type="dcterms:W3CDTF">2004-11-25T23:32:58Z</dcterms:created>
  <dcterms:modified xsi:type="dcterms:W3CDTF">2025-04-02T15:54:28Z</dcterms:modified>
  <cp:category/>
</cp:coreProperties>
</file>