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8515" windowHeight="12600"/>
  </bookViews>
  <sheets>
    <sheet name="Hoja1" sheetId="1" r:id="rId1"/>
    <sheet name="Hoja2" sheetId="2" r:id="rId2"/>
    <sheet name="Hoja3" sheetId="3" r:id="rId3"/>
  </sheets>
  <externalReferences>
    <externalReference r:id="rId4"/>
    <externalReference r:id="rId5"/>
    <externalReference r:id="rId6"/>
    <externalReference r:id="rId7"/>
  </externalReferences>
  <definedNames>
    <definedName name="_xlnm.Print_Area" localSheetId="0">Hoja1!$A$1:$F$7197</definedName>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'[4]Informacion '!$U$3</definedName>
    <definedName name="UnidadesList">'[1]Informacion '!$Q$3:$Q$43</definedName>
    <definedName name="UNSPSCCode">[1]UNSPSC!$A:$A</definedName>
    <definedName name="UNSPSCDes">[1]UNSPSC!$B:$B</definedName>
  </definedNames>
  <calcPr calcId="145621"/>
</workbook>
</file>

<file path=xl/calcChain.xml><?xml version="1.0" encoding="utf-8"?>
<calcChain xmlns="http://schemas.openxmlformats.org/spreadsheetml/2006/main">
  <c r="C23" i="1" l="1"/>
  <c r="C20" i="1"/>
  <c r="C18" i="1"/>
  <c r="C7193" i="1"/>
  <c r="C7191" i="1"/>
  <c r="C7165" i="1"/>
  <c r="C7163" i="1"/>
  <c r="C7154" i="1"/>
  <c r="C7152" i="1"/>
  <c r="C7142" i="1"/>
  <c r="C7140" i="1"/>
  <c r="C7114" i="1"/>
  <c r="C7112" i="1"/>
  <c r="C7103" i="1"/>
  <c r="C7101" i="1"/>
  <c r="C7075" i="1"/>
  <c r="C7073" i="1"/>
  <c r="C7064" i="1"/>
  <c r="C7062" i="1"/>
  <c r="C7036" i="1"/>
  <c r="C7034" i="1"/>
  <c r="C7025" i="1"/>
  <c r="C7023" i="1"/>
  <c r="C7013" i="1"/>
  <c r="C7011" i="1"/>
  <c r="C6985" i="1"/>
  <c r="C6983" i="1"/>
  <c r="C6973" i="1"/>
  <c r="C6971" i="1"/>
  <c r="C6945" i="1"/>
  <c r="C6943" i="1"/>
  <c r="C6924" i="1"/>
  <c r="C6922" i="1"/>
  <c r="C6913" i="1"/>
  <c r="C6911" i="1"/>
  <c r="C6901" i="1"/>
  <c r="C6899" i="1"/>
  <c r="C6877" i="1"/>
  <c r="C6875" i="1"/>
  <c r="C6866" i="1"/>
  <c r="C6864" i="1"/>
  <c r="C6855" i="1"/>
  <c r="C6853" i="1"/>
  <c r="C6834" i="1"/>
  <c r="C6832" i="1"/>
  <c r="C6823" i="1"/>
  <c r="C6821" i="1"/>
  <c r="C6812" i="1"/>
  <c r="C6810" i="1"/>
  <c r="C6788" i="1"/>
  <c r="C6786" i="1"/>
  <c r="C6767" i="1"/>
  <c r="C6765" i="1"/>
  <c r="C6756" i="1"/>
  <c r="C6754" i="1"/>
  <c r="C6735" i="1"/>
  <c r="C6733" i="1"/>
  <c r="C6711" i="1"/>
  <c r="C6709" i="1"/>
  <c r="C6693" i="1"/>
  <c r="C6691" i="1"/>
  <c r="C6669" i="1"/>
  <c r="C6667" i="1"/>
  <c r="C6657" i="1"/>
  <c r="C6655" i="1"/>
  <c r="C6633" i="1"/>
  <c r="C6631" i="1"/>
  <c r="C6619" i="1"/>
  <c r="C6617" i="1"/>
  <c r="C6595" i="1"/>
  <c r="C6593" i="1"/>
  <c r="C6584" i="1"/>
  <c r="C6582" i="1"/>
  <c r="C6573" i="1"/>
  <c r="C6571" i="1"/>
  <c r="C6562" i="1"/>
  <c r="C6560" i="1"/>
  <c r="C6551" i="1"/>
  <c r="C6549" i="1"/>
  <c r="C6539" i="1"/>
  <c r="C6537" i="1"/>
  <c r="C6528" i="1"/>
  <c r="C6526" i="1"/>
  <c r="C6511" i="1"/>
  <c r="C6509" i="1"/>
  <c r="C6498" i="1"/>
  <c r="C6496" i="1"/>
  <c r="C6483" i="1"/>
  <c r="C6481" i="1"/>
  <c r="C6449" i="1"/>
  <c r="C6447" i="1"/>
  <c r="C6432" i="1"/>
  <c r="C6430" i="1"/>
  <c r="C6421" i="1"/>
  <c r="C6419" i="1"/>
  <c r="C6400" i="1"/>
  <c r="C6398" i="1"/>
  <c r="C6389" i="1"/>
  <c r="C6387" i="1"/>
  <c r="C6378" i="1"/>
  <c r="C6376" i="1"/>
  <c r="C6367" i="1"/>
  <c r="C6365" i="1"/>
  <c r="C6353" i="1"/>
  <c r="C6351" i="1"/>
  <c r="C6342" i="1"/>
  <c r="C6340" i="1"/>
  <c r="C6331" i="1"/>
  <c r="C6329" i="1"/>
  <c r="C6320" i="1"/>
  <c r="C6318" i="1"/>
  <c r="C6307" i="1"/>
  <c r="C6305" i="1"/>
  <c r="C6296" i="1"/>
  <c r="C6294" i="1"/>
  <c r="C6285" i="1"/>
  <c r="C6283" i="1"/>
  <c r="C6274" i="1"/>
  <c r="C6272" i="1"/>
  <c r="C6263" i="1"/>
  <c r="C6261" i="1"/>
  <c r="C6252" i="1"/>
  <c r="C6250" i="1"/>
  <c r="C6240" i="1"/>
  <c r="C6238" i="1"/>
  <c r="C6228" i="1"/>
  <c r="C6226" i="1"/>
  <c r="C6207" i="1"/>
  <c r="C6205" i="1"/>
  <c r="C6181" i="1"/>
  <c r="C6179" i="1"/>
  <c r="C6170" i="1"/>
  <c r="C6168" i="1"/>
  <c r="C6159" i="1"/>
  <c r="C6157" i="1"/>
  <c r="C6148" i="1"/>
  <c r="C6146" i="1"/>
  <c r="C6136" i="1"/>
  <c r="C6134" i="1"/>
  <c r="C6125" i="1"/>
  <c r="C6123" i="1"/>
  <c r="C6114" i="1"/>
  <c r="C6112" i="1"/>
  <c r="C6103" i="1"/>
  <c r="C6101" i="1"/>
  <c r="C6071" i="1"/>
  <c r="C6069" i="1"/>
  <c r="C6058" i="1"/>
  <c r="C6056" i="1"/>
  <c r="C6047" i="1"/>
  <c r="C6045" i="1"/>
  <c r="C6036" i="1"/>
  <c r="C6034" i="1"/>
  <c r="C6025" i="1"/>
  <c r="C6023" i="1"/>
  <c r="C6014" i="1"/>
  <c r="C6012" i="1"/>
  <c r="C5996" i="1"/>
  <c r="C5994" i="1"/>
  <c r="C5985" i="1"/>
  <c r="C5983" i="1"/>
  <c r="C5974" i="1"/>
  <c r="C5972" i="1"/>
  <c r="C5962" i="1"/>
  <c r="C5960" i="1"/>
  <c r="C5951" i="1"/>
  <c r="C5949" i="1"/>
  <c r="C5940" i="1"/>
  <c r="C5938" i="1"/>
  <c r="C5929" i="1"/>
  <c r="C5927" i="1"/>
  <c r="C5918" i="1"/>
  <c r="C5916" i="1"/>
  <c r="C5907" i="1"/>
  <c r="C5905" i="1"/>
  <c r="C5895" i="1"/>
  <c r="C5893" i="1"/>
  <c r="C5884" i="1"/>
  <c r="C5882" i="1"/>
  <c r="C5873" i="1"/>
  <c r="C5871" i="1"/>
  <c r="C5862" i="1"/>
  <c r="C5860" i="1"/>
  <c r="C5851" i="1"/>
  <c r="C5849" i="1"/>
  <c r="C5840" i="1"/>
  <c r="C5838" i="1"/>
  <c r="C5829" i="1"/>
  <c r="C5827" i="1"/>
  <c r="C5818" i="1"/>
  <c r="C5816" i="1"/>
  <c r="C5801" i="1"/>
  <c r="C5799" i="1"/>
  <c r="C5789" i="1"/>
  <c r="C5787" i="1"/>
  <c r="C5778" i="1"/>
  <c r="C5776" i="1"/>
  <c r="C5766" i="1"/>
  <c r="C5764" i="1"/>
  <c r="C5754" i="1"/>
  <c r="C5752" i="1"/>
  <c r="C5741" i="1"/>
  <c r="C5739" i="1"/>
  <c r="C5730" i="1"/>
  <c r="C5728" i="1"/>
  <c r="C5717" i="1"/>
  <c r="C5715" i="1"/>
  <c r="C5705" i="1"/>
  <c r="C5703" i="1"/>
  <c r="C5682" i="1"/>
  <c r="C5680" i="1"/>
  <c r="C5613" i="1"/>
  <c r="C5611" i="1"/>
  <c r="C5602" i="1"/>
  <c r="C5600" i="1"/>
  <c r="C5590" i="1"/>
  <c r="C5588" i="1"/>
  <c r="C5577" i="1"/>
  <c r="C5575" i="1"/>
  <c r="F23" i="1"/>
  <c r="B23" i="1"/>
  <c r="F7182" i="1"/>
  <c r="F7176" i="1"/>
  <c r="F7170" i="1"/>
  <c r="B7133" i="1"/>
  <c r="B7127" i="1"/>
  <c r="B7121" i="1"/>
  <c r="F7106" i="1"/>
  <c r="B7092" i="1"/>
  <c r="B7086" i="1"/>
  <c r="B7080" i="1"/>
  <c r="B7051" i="1"/>
  <c r="B7045" i="1"/>
  <c r="B7039" i="1"/>
  <c r="B7016" i="1"/>
  <c r="F7001" i="1"/>
  <c r="F6995" i="1"/>
  <c r="F6989" i="1"/>
  <c r="F6960" i="1"/>
  <c r="F6954" i="1"/>
  <c r="F6948" i="1"/>
  <c r="B6934" i="1"/>
  <c r="B6928" i="1"/>
  <c r="B6905" i="1"/>
  <c r="F6890" i="1"/>
  <c r="F6884" i="1"/>
  <c r="B6847" i="1"/>
  <c r="B6841" i="1"/>
  <c r="F6826" i="1"/>
  <c r="F6803" i="1"/>
  <c r="F6797" i="1"/>
  <c r="F6791" i="1"/>
  <c r="B6777" i="1"/>
  <c r="B6771" i="1"/>
  <c r="B6748" i="1"/>
  <c r="B6742" i="1"/>
  <c r="F6727" i="1"/>
  <c r="F6721" i="1"/>
  <c r="F6715" i="1"/>
  <c r="B6701" i="1"/>
  <c r="F6680" i="1"/>
  <c r="F6674" i="1"/>
  <c r="B6660" i="1"/>
  <c r="F6645" i="1"/>
  <c r="F6639" i="1"/>
  <c r="B6625" i="1"/>
  <c r="F6610" i="1"/>
  <c r="F6604" i="1"/>
  <c r="F6598" i="1"/>
  <c r="B6515" i="1"/>
  <c r="B6486" i="1"/>
  <c r="F6471" i="1"/>
  <c r="F6465" i="1"/>
  <c r="F6459" i="1"/>
  <c r="F6453" i="1"/>
  <c r="B6439" i="1"/>
  <c r="F6424" i="1"/>
  <c r="B6410" i="1"/>
  <c r="B6404" i="1"/>
  <c r="B6381" i="1"/>
  <c r="B6358" i="1"/>
  <c r="B6312" i="1"/>
  <c r="B6266" i="1"/>
  <c r="B6243" i="1"/>
  <c r="B6220" i="1"/>
  <c r="B6214" i="1"/>
  <c r="F6199" i="1"/>
  <c r="F6193" i="1"/>
  <c r="F6187" i="1"/>
  <c r="B6173" i="1"/>
  <c r="F6095" i="1"/>
  <c r="F6089" i="1"/>
  <c r="F6083" i="1"/>
  <c r="F6077" i="1"/>
  <c r="B6063" i="1"/>
  <c r="B6017" i="1"/>
  <c r="F6002" i="1"/>
  <c r="B5988" i="1"/>
  <c r="B5965" i="1"/>
  <c r="F5910" i="1"/>
  <c r="F5887" i="1"/>
  <c r="B5810" i="1"/>
  <c r="B5804" i="1"/>
  <c r="B5781" i="1"/>
  <c r="B5758" i="1"/>
  <c r="F5720" i="1"/>
  <c r="F5697" i="1"/>
  <c r="F5691" i="1"/>
  <c r="F5685" i="1"/>
  <c r="B5671" i="1"/>
  <c r="B5665" i="1"/>
  <c r="B5659" i="1"/>
  <c r="B5647" i="1"/>
  <c r="B5635" i="1"/>
  <c r="B5623" i="1"/>
  <c r="B5594" i="1"/>
  <c r="B7001" i="1"/>
  <c r="B6989" i="1"/>
  <c r="F7196" i="1"/>
  <c r="B7182" i="1"/>
  <c r="B7176" i="1"/>
  <c r="B7170" i="1"/>
  <c r="F7132" i="1"/>
  <c r="F7126" i="1"/>
  <c r="F7120" i="1"/>
  <c r="B7106" i="1"/>
  <c r="F7091" i="1"/>
  <c r="F7085" i="1"/>
  <c r="F7079" i="1"/>
  <c r="F7056" i="1"/>
  <c r="F7050" i="1"/>
  <c r="F7044" i="1"/>
  <c r="B7196" i="1"/>
  <c r="F7181" i="1"/>
  <c r="F7175" i="1"/>
  <c r="F7169" i="1"/>
  <c r="F7146" i="1"/>
  <c r="B7132" i="1"/>
  <c r="B7126" i="1"/>
  <c r="B7120" i="1"/>
  <c r="B7091" i="1"/>
  <c r="B7085" i="1"/>
  <c r="B7079" i="1"/>
  <c r="B7056" i="1"/>
  <c r="B7050" i="1"/>
  <c r="B7044" i="1"/>
  <c r="F7000" i="1"/>
  <c r="F6994" i="1"/>
  <c r="F6988" i="1"/>
  <c r="F6965" i="1"/>
  <c r="F6959" i="1"/>
  <c r="F6953" i="1"/>
  <c r="B6933" i="1"/>
  <c r="B6927" i="1"/>
  <c r="B6904" i="1"/>
  <c r="F6889" i="1"/>
  <c r="F6883" i="1"/>
  <c r="B6869" i="1"/>
  <c r="B6846" i="1"/>
  <c r="B6840" i="1"/>
  <c r="F6802" i="1"/>
  <c r="F6796" i="1"/>
  <c r="B6776" i="1"/>
  <c r="B6770" i="1"/>
  <c r="B6747" i="1"/>
  <c r="B6741" i="1"/>
  <c r="F6726" i="1"/>
  <c r="F6720" i="1"/>
  <c r="F6714" i="1"/>
  <c r="B6700" i="1"/>
  <c r="F6685" i="1"/>
  <c r="F6679" i="1"/>
  <c r="F6673" i="1"/>
  <c r="F6644" i="1"/>
  <c r="F6638" i="1"/>
  <c r="B6624" i="1"/>
  <c r="F6609" i="1"/>
  <c r="F6603" i="1"/>
  <c r="B6543" i="1"/>
  <c r="B6520" i="1"/>
  <c r="B6514" i="1"/>
  <c r="F6470" i="1"/>
  <c r="F6464" i="1"/>
  <c r="F6458" i="1"/>
  <c r="F6452" i="1"/>
  <c r="B6438" i="1"/>
  <c r="B6409" i="1"/>
  <c r="B6403" i="1"/>
  <c r="B6357" i="1"/>
  <c r="B6334" i="1"/>
  <c r="B6311" i="1"/>
  <c r="B6288" i="1"/>
  <c r="B6219" i="1"/>
  <c r="B6213" i="1"/>
  <c r="F6198" i="1"/>
  <c r="F6192" i="1"/>
  <c r="F6186" i="1"/>
  <c r="F6140" i="1"/>
  <c r="F6117" i="1"/>
  <c r="F6094" i="1"/>
  <c r="F6088" i="1"/>
  <c r="F6082" i="1"/>
  <c r="F6076" i="1"/>
  <c r="B6062" i="1"/>
  <c r="B6039" i="1"/>
  <c r="F6001" i="1"/>
  <c r="F5932" i="1"/>
  <c r="B7181" i="1"/>
  <c r="B7175" i="1"/>
  <c r="B7169" i="1"/>
  <c r="B7146" i="1"/>
  <c r="F7131" i="1"/>
  <c r="F7125" i="1"/>
  <c r="F7119" i="1"/>
  <c r="F7090" i="1"/>
  <c r="F7084" i="1"/>
  <c r="F7078" i="1"/>
  <c r="F7055" i="1"/>
  <c r="F7049" i="1"/>
  <c r="F7043" i="1"/>
  <c r="B7000" i="1"/>
  <c r="B6994" i="1"/>
  <c r="B6988" i="1"/>
  <c r="B6965" i="1"/>
  <c r="B6959" i="1"/>
  <c r="B6953" i="1"/>
  <c r="F6932" i="1"/>
  <c r="B6889" i="1"/>
  <c r="B6883" i="1"/>
  <c r="F6845" i="1"/>
  <c r="F6839" i="1"/>
  <c r="B6802" i="1"/>
  <c r="B6796" i="1"/>
  <c r="F6775" i="1"/>
  <c r="F6746" i="1"/>
  <c r="F6740" i="1"/>
  <c r="B6726" i="1"/>
  <c r="B6720" i="1"/>
  <c r="B6714" i="1"/>
  <c r="F6699" i="1"/>
  <c r="B6685" i="1"/>
  <c r="B6679" i="1"/>
  <c r="B6673" i="1"/>
  <c r="B6644" i="1"/>
  <c r="B6638" i="1"/>
  <c r="F6623" i="1"/>
  <c r="B6609" i="1"/>
  <c r="B6603" i="1"/>
  <c r="F6565" i="1"/>
  <c r="F6542" i="1"/>
  <c r="F6519" i="1"/>
  <c r="F6490" i="1"/>
  <c r="B6470" i="1"/>
  <c r="B6464" i="1"/>
  <c r="B6458" i="1"/>
  <c r="B6452" i="1"/>
  <c r="F6437" i="1"/>
  <c r="F6408" i="1"/>
  <c r="F6356" i="1"/>
  <c r="F6310" i="1"/>
  <c r="F6218" i="1"/>
  <c r="F6212" i="1"/>
  <c r="B6198" i="1"/>
  <c r="B6192" i="1"/>
  <c r="B6186" i="1"/>
  <c r="B6140" i="1"/>
  <c r="B6117" i="1"/>
  <c r="B6094" i="1"/>
  <c r="B6088" i="1"/>
  <c r="B6082" i="1"/>
  <c r="B6076" i="1"/>
  <c r="F6061" i="1"/>
  <c r="F7180" i="1"/>
  <c r="F7174" i="1"/>
  <c r="F7168" i="1"/>
  <c r="F7145" i="1"/>
  <c r="B7131" i="1"/>
  <c r="B7125" i="1"/>
  <c r="B7119" i="1"/>
  <c r="B7090" i="1"/>
  <c r="B7084" i="1"/>
  <c r="B7078" i="1"/>
  <c r="B7055" i="1"/>
  <c r="B7049" i="1"/>
  <c r="B7043" i="1"/>
  <c r="F7028" i="1"/>
  <c r="F7005" i="1"/>
  <c r="F6999" i="1"/>
  <c r="F6993" i="1"/>
  <c r="F6964" i="1"/>
  <c r="F6958" i="1"/>
  <c r="F6952" i="1"/>
  <c r="B6932" i="1"/>
  <c r="F6888" i="1"/>
  <c r="F6882" i="1"/>
  <c r="B6845" i="1"/>
  <c r="B6839" i="1"/>
  <c r="F6801" i="1"/>
  <c r="F6795" i="1"/>
  <c r="B6775" i="1"/>
  <c r="B6746" i="1"/>
  <c r="B6740" i="1"/>
  <c r="F6725" i="1"/>
  <c r="F6719" i="1"/>
  <c r="B6699" i="1"/>
  <c r="F6684" i="1"/>
  <c r="F6678" i="1"/>
  <c r="F6672" i="1"/>
  <c r="F6649" i="1"/>
  <c r="F6643" i="1"/>
  <c r="F6637" i="1"/>
  <c r="B6623" i="1"/>
  <c r="F6608" i="1"/>
  <c r="F6602" i="1"/>
  <c r="B6565" i="1"/>
  <c r="B6542" i="1"/>
  <c r="B6519" i="1"/>
  <c r="B6490" i="1"/>
  <c r="F6475" i="1"/>
  <c r="F6469" i="1"/>
  <c r="F6463" i="1"/>
  <c r="F6457" i="1"/>
  <c r="B6437" i="1"/>
  <c r="B6408" i="1"/>
  <c r="F6370" i="1"/>
  <c r="B6356" i="1"/>
  <c r="B6310" i="1"/>
  <c r="F6255" i="1"/>
  <c r="F6232" i="1"/>
  <c r="B6218" i="1"/>
  <c r="B6212" i="1"/>
  <c r="F6197" i="1"/>
  <c r="F6191" i="1"/>
  <c r="F6185" i="1"/>
  <c r="F6162" i="1"/>
  <c r="F6139" i="1"/>
  <c r="F6093" i="1"/>
  <c r="F6087" i="1"/>
  <c r="F6081" i="1"/>
  <c r="F6075" i="1"/>
  <c r="B6061" i="1"/>
  <c r="F6006" i="1"/>
  <c r="F6000" i="1"/>
  <c r="F5977" i="1"/>
  <c r="F5954" i="1"/>
  <c r="B5854" i="1"/>
  <c r="B5808" i="1"/>
  <c r="F5793" i="1"/>
  <c r="F5770" i="1"/>
  <c r="B7180" i="1"/>
  <c r="B7174" i="1"/>
  <c r="B7168" i="1"/>
  <c r="B7145" i="1"/>
  <c r="F7130" i="1"/>
  <c r="F7124" i="1"/>
  <c r="F7118" i="1"/>
  <c r="F7095" i="1"/>
  <c r="F7089" i="1"/>
  <c r="F7083" i="1"/>
  <c r="F7054" i="1"/>
  <c r="F7048" i="1"/>
  <c r="F7042" i="1"/>
  <c r="B7028" i="1"/>
  <c r="B7005" i="1"/>
  <c r="B6999" i="1"/>
  <c r="B6993" i="1"/>
  <c r="B6964" i="1"/>
  <c r="B6958" i="1"/>
  <c r="B6952" i="1"/>
  <c r="F6937" i="1"/>
  <c r="F6931" i="1"/>
  <c r="B6888" i="1"/>
  <c r="B6882" i="1"/>
  <c r="F6844" i="1"/>
  <c r="F6838" i="1"/>
  <c r="F6815" i="1"/>
  <c r="B6801" i="1"/>
  <c r="B6795" i="1"/>
  <c r="F6780" i="1"/>
  <c r="F6774" i="1"/>
  <c r="F6745" i="1"/>
  <c r="F6739" i="1"/>
  <c r="B6725" i="1"/>
  <c r="B6719" i="1"/>
  <c r="F6698" i="1"/>
  <c r="B6684" i="1"/>
  <c r="B6678" i="1"/>
  <c r="B6672" i="1"/>
  <c r="B6649" i="1"/>
  <c r="B6643" i="1"/>
  <c r="B6637" i="1"/>
  <c r="F6622" i="1"/>
  <c r="B6608" i="1"/>
  <c r="B6602" i="1"/>
  <c r="F6587" i="1"/>
  <c r="F6518" i="1"/>
  <c r="F6489" i="1"/>
  <c r="B6475" i="1"/>
  <c r="B6469" i="1"/>
  <c r="B6463" i="1"/>
  <c r="B6457" i="1"/>
  <c r="F6436" i="1"/>
  <c r="F6413" i="1"/>
  <c r="F6407" i="1"/>
  <c r="B6370" i="1"/>
  <c r="B6255" i="1"/>
  <c r="B6232" i="1"/>
  <c r="F6217" i="1"/>
  <c r="F6211" i="1"/>
  <c r="B6197" i="1"/>
  <c r="B6191" i="1"/>
  <c r="B6185" i="1"/>
  <c r="B6162" i="1"/>
  <c r="B6139" i="1"/>
  <c r="B6093" i="1"/>
  <c r="B6087" i="1"/>
  <c r="B6081" i="1"/>
  <c r="B6075" i="1"/>
  <c r="B6006" i="1"/>
  <c r="B6000" i="1"/>
  <c r="B5977" i="1"/>
  <c r="B5954" i="1"/>
  <c r="F5899" i="1"/>
  <c r="F5876" i="1"/>
  <c r="F5807" i="1"/>
  <c r="B5793" i="1"/>
  <c r="B5770" i="1"/>
  <c r="F5709" i="1"/>
  <c r="B5695" i="1"/>
  <c r="B5689" i="1"/>
  <c r="F5674" i="1"/>
  <c r="F5668" i="1"/>
  <c r="F5662" i="1"/>
  <c r="F5656" i="1"/>
  <c r="F5650" i="1"/>
  <c r="F5644" i="1"/>
  <c r="F5638" i="1"/>
  <c r="F5632" i="1"/>
  <c r="F5626" i="1"/>
  <c r="F5620" i="1"/>
  <c r="B5876" i="1"/>
  <c r="F5821" i="1"/>
  <c r="B5807" i="1"/>
  <c r="F5792" i="1"/>
  <c r="F5746" i="1"/>
  <c r="B5709" i="1"/>
  <c r="F5694" i="1"/>
  <c r="F5688" i="1"/>
  <c r="B5668" i="1"/>
  <c r="B5656" i="1"/>
  <c r="B5644" i="1"/>
  <c r="B5632" i="1"/>
  <c r="B5626" i="1"/>
  <c r="F5605" i="1"/>
  <c r="F7185" i="1"/>
  <c r="F7179" i="1"/>
  <c r="F7173" i="1"/>
  <c r="B7130" i="1"/>
  <c r="B7124" i="1"/>
  <c r="B7118" i="1"/>
  <c r="B7095" i="1"/>
  <c r="B7089" i="1"/>
  <c r="B7083" i="1"/>
  <c r="B7054" i="1"/>
  <c r="B7048" i="1"/>
  <c r="B7042" i="1"/>
  <c r="F7004" i="1"/>
  <c r="F6998" i="1"/>
  <c r="F6992" i="1"/>
  <c r="F6963" i="1"/>
  <c r="F6957" i="1"/>
  <c r="F6951" i="1"/>
  <c r="B6937" i="1"/>
  <c r="B6931" i="1"/>
  <c r="F6916" i="1"/>
  <c r="F6893" i="1"/>
  <c r="F6887" i="1"/>
  <c r="F6881" i="1"/>
  <c r="F6858" i="1"/>
  <c r="B6844" i="1"/>
  <c r="B6838" i="1"/>
  <c r="B6815" i="1"/>
  <c r="F6800" i="1"/>
  <c r="F6794" i="1"/>
  <c r="B6780" i="1"/>
  <c r="B6774" i="1"/>
  <c r="F6759" i="1"/>
  <c r="B6745" i="1"/>
  <c r="B6739" i="1"/>
  <c r="F6724" i="1"/>
  <c r="F6718" i="1"/>
  <c r="B6698" i="1"/>
  <c r="F6683" i="1"/>
  <c r="F6677" i="1"/>
  <c r="F6648" i="1"/>
  <c r="F6642" i="1"/>
  <c r="F6636" i="1"/>
  <c r="B6622" i="1"/>
  <c r="F6607" i="1"/>
  <c r="F6601" i="1"/>
  <c r="B6587" i="1"/>
  <c r="B6518" i="1"/>
  <c r="F6503" i="1"/>
  <c r="B6489" i="1"/>
  <c r="F6474" i="1"/>
  <c r="F6468" i="1"/>
  <c r="F6462" i="1"/>
  <c r="F6456" i="1"/>
  <c r="B6436" i="1"/>
  <c r="B6413" i="1"/>
  <c r="B6407" i="1"/>
  <c r="F6392" i="1"/>
  <c r="F6323" i="1"/>
  <c r="F6277" i="1"/>
  <c r="F6231" i="1"/>
  <c r="B6217" i="1"/>
  <c r="B6211" i="1"/>
  <c r="F6196" i="1"/>
  <c r="F6190" i="1"/>
  <c r="F6184" i="1"/>
  <c r="F6092" i="1"/>
  <c r="F6086" i="1"/>
  <c r="F6080" i="1"/>
  <c r="F6074" i="1"/>
  <c r="F6028" i="1"/>
  <c r="F6005" i="1"/>
  <c r="F5999" i="1"/>
  <c r="B5899" i="1"/>
  <c r="F5769" i="1"/>
  <c r="B5674" i="1"/>
  <c r="B5662" i="1"/>
  <c r="B5650" i="1"/>
  <c r="B5638" i="1"/>
  <c r="B5620" i="1"/>
  <c r="F5582" i="1"/>
  <c r="B7185" i="1"/>
  <c r="B7179" i="1"/>
  <c r="B7173" i="1"/>
  <c r="F7129" i="1"/>
  <c r="F7123" i="1"/>
  <c r="F7117" i="1"/>
  <c r="F7094" i="1"/>
  <c r="F7088" i="1"/>
  <c r="F7082" i="1"/>
  <c r="F7053" i="1"/>
  <c r="F7047" i="1"/>
  <c r="F7041" i="1"/>
  <c r="B7004" i="1"/>
  <c r="B6998" i="1"/>
  <c r="B6992" i="1"/>
  <c r="F6977" i="1"/>
  <c r="B6963" i="1"/>
  <c r="B6957" i="1"/>
  <c r="B6951" i="1"/>
  <c r="F6936" i="1"/>
  <c r="F6930" i="1"/>
  <c r="B6916" i="1"/>
  <c r="B6893" i="1"/>
  <c r="B6887" i="1"/>
  <c r="B6881" i="1"/>
  <c r="B6858" i="1"/>
  <c r="F6843" i="1"/>
  <c r="F6837" i="1"/>
  <c r="B6800" i="1"/>
  <c r="B6794" i="1"/>
  <c r="F6779" i="1"/>
  <c r="F6773" i="1"/>
  <c r="B6759" i="1"/>
  <c r="F6744" i="1"/>
  <c r="F6738" i="1"/>
  <c r="B6724" i="1"/>
  <c r="B6718" i="1"/>
  <c r="F6703" i="1"/>
  <c r="F6697" i="1"/>
  <c r="B6683" i="1"/>
  <c r="B6677" i="1"/>
  <c r="B6648" i="1"/>
  <c r="B6642" i="1"/>
  <c r="B6636" i="1"/>
  <c r="B6607" i="1"/>
  <c r="B6601" i="1"/>
  <c r="F6517" i="1"/>
  <c r="B6503" i="1"/>
  <c r="F6488" i="1"/>
  <c r="B6474" i="1"/>
  <c r="B6468" i="1"/>
  <c r="B6462" i="1"/>
  <c r="B6456" i="1"/>
  <c r="F6441" i="1"/>
  <c r="F6435" i="1"/>
  <c r="F6412" i="1"/>
  <c r="F6406" i="1"/>
  <c r="B6392" i="1"/>
  <c r="B6323" i="1"/>
  <c r="B6277" i="1"/>
  <c r="B6231" i="1"/>
  <c r="F6216" i="1"/>
  <c r="F6210" i="1"/>
  <c r="B6196" i="1"/>
  <c r="B6190" i="1"/>
  <c r="B6184" i="1"/>
  <c r="F6106" i="1"/>
  <c r="B6092" i="1"/>
  <c r="B6086" i="1"/>
  <c r="B6080" i="1"/>
  <c r="B6074" i="1"/>
  <c r="B6028" i="1"/>
  <c r="B6005" i="1"/>
  <c r="B5999" i="1"/>
  <c r="F5921" i="1"/>
  <c r="F5898" i="1"/>
  <c r="B5821" i="1"/>
  <c r="F5806" i="1"/>
  <c r="B5792" i="1"/>
  <c r="B5769" i="1"/>
  <c r="B5746" i="1"/>
  <c r="F5708" i="1"/>
  <c r="B5694" i="1"/>
  <c r="B5688" i="1"/>
  <c r="F5673" i="1"/>
  <c r="F5667" i="1"/>
  <c r="F5661" i="1"/>
  <c r="F5655" i="1"/>
  <c r="F5649" i="1"/>
  <c r="F5643" i="1"/>
  <c r="F5637" i="1"/>
  <c r="F5631" i="1"/>
  <c r="F5625" i="1"/>
  <c r="F5619" i="1"/>
  <c r="B5605" i="1"/>
  <c r="B5582" i="1"/>
  <c r="B5806" i="1"/>
  <c r="F7184" i="1"/>
  <c r="F7178" i="1"/>
  <c r="F7172" i="1"/>
  <c r="B7129" i="1"/>
  <c r="B7123" i="1"/>
  <c r="B7117" i="1"/>
  <c r="B7094" i="1"/>
  <c r="B7088" i="1"/>
  <c r="B7082" i="1"/>
  <c r="F7067" i="1"/>
  <c r="B7053" i="1"/>
  <c r="B7047" i="1"/>
  <c r="B7041" i="1"/>
  <c r="F7003" i="1"/>
  <c r="F6997" i="1"/>
  <c r="F6991" i="1"/>
  <c r="B6977" i="1"/>
  <c r="F6962" i="1"/>
  <c r="F6956" i="1"/>
  <c r="F6950" i="1"/>
  <c r="B6936" i="1"/>
  <c r="B6930" i="1"/>
  <c r="F6892" i="1"/>
  <c r="F6886" i="1"/>
  <c r="F6880" i="1"/>
  <c r="B6843" i="1"/>
  <c r="B6837" i="1"/>
  <c r="F6799" i="1"/>
  <c r="F6793" i="1"/>
  <c r="B6779" i="1"/>
  <c r="B6773" i="1"/>
  <c r="B6744" i="1"/>
  <c r="B6738" i="1"/>
  <c r="F6723" i="1"/>
  <c r="F6717" i="1"/>
  <c r="B6703" i="1"/>
  <c r="B6697" i="1"/>
  <c r="F6682" i="1"/>
  <c r="F6676" i="1"/>
  <c r="F6647" i="1"/>
  <c r="F6641" i="1"/>
  <c r="F6606" i="1"/>
  <c r="F6600" i="1"/>
  <c r="F6554" i="1"/>
  <c r="F6531" i="1"/>
  <c r="B6517" i="1"/>
  <c r="F6502" i="1"/>
  <c r="B6488" i="1"/>
  <c r="F6473" i="1"/>
  <c r="F6467" i="1"/>
  <c r="F6461" i="1"/>
  <c r="F6455" i="1"/>
  <c r="B6441" i="1"/>
  <c r="B6435" i="1"/>
  <c r="B6412" i="1"/>
  <c r="B6406" i="1"/>
  <c r="F6345" i="1"/>
  <c r="F6299" i="1"/>
  <c r="B6216" i="1"/>
  <c r="B6210" i="1"/>
  <c r="F6195" i="1"/>
  <c r="F6189" i="1"/>
  <c r="B6106" i="1"/>
  <c r="F6091" i="1"/>
  <c r="F6085" i="1"/>
  <c r="F6079" i="1"/>
  <c r="F6050" i="1"/>
  <c r="F6004" i="1"/>
  <c r="B5921" i="1"/>
  <c r="B5898" i="1"/>
  <c r="F5843" i="1"/>
  <c r="B7184" i="1"/>
  <c r="B7178" i="1"/>
  <c r="B7172" i="1"/>
  <c r="F7157" i="1"/>
  <c r="F7134" i="1"/>
  <c r="F7128" i="1"/>
  <c r="F7122" i="1"/>
  <c r="F7093" i="1"/>
  <c r="F7087" i="1"/>
  <c r="F7081" i="1"/>
  <c r="B7067" i="1"/>
  <c r="F7052" i="1"/>
  <c r="F7046" i="1"/>
  <c r="F7040" i="1"/>
  <c r="F7017" i="1"/>
  <c r="B7003" i="1"/>
  <c r="B6997" i="1"/>
  <c r="B6991" i="1"/>
  <c r="F6976" i="1"/>
  <c r="B6962" i="1"/>
  <c r="B6956" i="1"/>
  <c r="B6950" i="1"/>
  <c r="F6935" i="1"/>
  <c r="F6929" i="1"/>
  <c r="B6892" i="1"/>
  <c r="B6886" i="1"/>
  <c r="B6880" i="1"/>
  <c r="F6842" i="1"/>
  <c r="B6799" i="1"/>
  <c r="B6793" i="1"/>
  <c r="F6778" i="1"/>
  <c r="F6772" i="1"/>
  <c r="F6743" i="1"/>
  <c r="B6723" i="1"/>
  <c r="B6717" i="1"/>
  <c r="F6702" i="1"/>
  <c r="F6696" i="1"/>
  <c r="B6682" i="1"/>
  <c r="B6676" i="1"/>
  <c r="F6661" i="1"/>
  <c r="B6647" i="1"/>
  <c r="B6641" i="1"/>
  <c r="B6606" i="1"/>
  <c r="B6600" i="1"/>
  <c r="B6554" i="1"/>
  <c r="B6531" i="1"/>
  <c r="F6516" i="1"/>
  <c r="B6502" i="1"/>
  <c r="F6487" i="1"/>
  <c r="B6473" i="1"/>
  <c r="B6467" i="1"/>
  <c r="B6461" i="1"/>
  <c r="B6455" i="1"/>
  <c r="F6440" i="1"/>
  <c r="F6411" i="1"/>
  <c r="F6405" i="1"/>
  <c r="F6359" i="1"/>
  <c r="B6345" i="1"/>
  <c r="B6299" i="1"/>
  <c r="F6244" i="1"/>
  <c r="F6215" i="1"/>
  <c r="B6195" i="1"/>
  <c r="B6189" i="1"/>
  <c r="F7183" i="1"/>
  <c r="F7177" i="1"/>
  <c r="F7171" i="1"/>
  <c r="B7157" i="1"/>
  <c r="B7134" i="1"/>
  <c r="B7128" i="1"/>
  <c r="B7122" i="1"/>
  <c r="B7093" i="1"/>
  <c r="B7087" i="1"/>
  <c r="B7081" i="1"/>
  <c r="B7052" i="1"/>
  <c r="B7046" i="1"/>
  <c r="B7040" i="1"/>
  <c r="B7017" i="1"/>
  <c r="F7002" i="1"/>
  <c r="F6996" i="1"/>
  <c r="F6990" i="1"/>
  <c r="B6976" i="1"/>
  <c r="F6961" i="1"/>
  <c r="F6955" i="1"/>
  <c r="F6949" i="1"/>
  <c r="B6935" i="1"/>
  <c r="B6929" i="1"/>
  <c r="F6891" i="1"/>
  <c r="F6885" i="1"/>
  <c r="B6842" i="1"/>
  <c r="F6804" i="1"/>
  <c r="F6798" i="1"/>
  <c r="F6792" i="1"/>
  <c r="B6778" i="1"/>
  <c r="B6772" i="1"/>
  <c r="B6743" i="1"/>
  <c r="F6722" i="1"/>
  <c r="F6716" i="1"/>
  <c r="B6702" i="1"/>
  <c r="B6696" i="1"/>
  <c r="F6681" i="1"/>
  <c r="F6675" i="1"/>
  <c r="B6661" i="1"/>
  <c r="F6646" i="1"/>
  <c r="F6640" i="1"/>
  <c r="F6611" i="1"/>
  <c r="F6605" i="1"/>
  <c r="F6599" i="1"/>
  <c r="F6576" i="1"/>
  <c r="B6516" i="1"/>
  <c r="F6501" i="1"/>
  <c r="B6487" i="1"/>
  <c r="F6472" i="1"/>
  <c r="F6466" i="1"/>
  <c r="F6460" i="1"/>
  <c r="F6454" i="1"/>
  <c r="B6440" i="1"/>
  <c r="B6411" i="1"/>
  <c r="B6405" i="1"/>
  <c r="B6359" i="1"/>
  <c r="B6244" i="1"/>
  <c r="B6215" i="1"/>
  <c r="F6194" i="1"/>
  <c r="F6188" i="1"/>
  <c r="B6151" i="1"/>
  <c r="B6128" i="1"/>
  <c r="F6090" i="1"/>
  <c r="F6084" i="1"/>
  <c r="F6078" i="1"/>
  <c r="F6003" i="1"/>
  <c r="B5966" i="1"/>
  <c r="B5943" i="1"/>
  <c r="F5865" i="1"/>
  <c r="B5805" i="1"/>
  <c r="B7183" i="1"/>
  <c r="B7177" i="1"/>
  <c r="B7171" i="1"/>
  <c r="F7133" i="1"/>
  <c r="F7127" i="1"/>
  <c r="F7121" i="1"/>
  <c r="F7092" i="1"/>
  <c r="F7086" i="1"/>
  <c r="F7080" i="1"/>
  <c r="F7051" i="1"/>
  <c r="F7045" i="1"/>
  <c r="F7039" i="1"/>
  <c r="F7016" i="1"/>
  <c r="B7002" i="1"/>
  <c r="B6996" i="1"/>
  <c r="B6990" i="1"/>
  <c r="B6961" i="1"/>
  <c r="B6955" i="1"/>
  <c r="B6949" i="1"/>
  <c r="F6934" i="1"/>
  <c r="F6928" i="1"/>
  <c r="F6905" i="1"/>
  <c r="B6891" i="1"/>
  <c r="B6885" i="1"/>
  <c r="F6847" i="1"/>
  <c r="F6841" i="1"/>
  <c r="B6804" i="1"/>
  <c r="B6798" i="1"/>
  <c r="B6792" i="1"/>
  <c r="F6777" i="1"/>
  <c r="F6771" i="1"/>
  <c r="F6748" i="1"/>
  <c r="F6742" i="1"/>
  <c r="B6722" i="1"/>
  <c r="B6716" i="1"/>
  <c r="F6701" i="1"/>
  <c r="B6681" i="1"/>
  <c r="B6675" i="1"/>
  <c r="F6660" i="1"/>
  <c r="B6646" i="1"/>
  <c r="B6640" i="1"/>
  <c r="F6625" i="1"/>
  <c r="B6611" i="1"/>
  <c r="B6605" i="1"/>
  <c r="B6599" i="1"/>
  <c r="B6576" i="1"/>
  <c r="F6515" i="1"/>
  <c r="B6501" i="1"/>
  <c r="F6486" i="1"/>
  <c r="B6472" i="1"/>
  <c r="B6466" i="1"/>
  <c r="B6460" i="1"/>
  <c r="B6454" i="1"/>
  <c r="F6439" i="1"/>
  <c r="F6410" i="1"/>
  <c r="F6404" i="1"/>
  <c r="F6381" i="1"/>
  <c r="F6358" i="1"/>
  <c r="F6312" i="1"/>
  <c r="F6266" i="1"/>
  <c r="F6243" i="1"/>
  <c r="F6220" i="1"/>
  <c r="F6214" i="1"/>
  <c r="B6194" i="1"/>
  <c r="B6188" i="1"/>
  <c r="F6173" i="1"/>
  <c r="B6090" i="1"/>
  <c r="B6084" i="1"/>
  <c r="B6078" i="1"/>
  <c r="F6063" i="1"/>
  <c r="F6017" i="1"/>
  <c r="B6003" i="1"/>
  <c r="F5988" i="1"/>
  <c r="F5965" i="1"/>
  <c r="B5865" i="1"/>
  <c r="F5810" i="1"/>
  <c r="F5804" i="1"/>
  <c r="F5781" i="1"/>
  <c r="F5758" i="1"/>
  <c r="B5744" i="1"/>
  <c r="B5721" i="1"/>
  <c r="B5692" i="1"/>
  <c r="B5686" i="1"/>
  <c r="F5671" i="1"/>
  <c r="F5665" i="1"/>
  <c r="F5659" i="1"/>
  <c r="F5653" i="1"/>
  <c r="F5647" i="1"/>
  <c r="F5641" i="1"/>
  <c r="F5635" i="1"/>
  <c r="F5629" i="1"/>
  <c r="F5623" i="1"/>
  <c r="F5617" i="1"/>
  <c r="F5594" i="1"/>
  <c r="B5580" i="1"/>
  <c r="B5653" i="1"/>
  <c r="B5641" i="1"/>
  <c r="B5629" i="1"/>
  <c r="B5617" i="1"/>
  <c r="B6803" i="1"/>
  <c r="F6741" i="1"/>
  <c r="B6680" i="1"/>
  <c r="B6424" i="1"/>
  <c r="F6128" i="1"/>
  <c r="B6083" i="1"/>
  <c r="F5808" i="1"/>
  <c r="F5733" i="1"/>
  <c r="F5689" i="1"/>
  <c r="B5670" i="1"/>
  <c r="B5660" i="1"/>
  <c r="B5649" i="1"/>
  <c r="F5639" i="1"/>
  <c r="F5628" i="1"/>
  <c r="F5618" i="1"/>
  <c r="F5669" i="1"/>
  <c r="F5648" i="1"/>
  <c r="B5628" i="1"/>
  <c r="F5581" i="1"/>
  <c r="F5627" i="1"/>
  <c r="B5616" i="1"/>
  <c r="B5690" i="1"/>
  <c r="B6797" i="1"/>
  <c r="B6674" i="1"/>
  <c r="B6610" i="1"/>
  <c r="F6357" i="1"/>
  <c r="B6079" i="1"/>
  <c r="B5887" i="1"/>
  <c r="B5843" i="1"/>
  <c r="F5805" i="1"/>
  <c r="B5733" i="1"/>
  <c r="F5687" i="1"/>
  <c r="F5658" i="1"/>
  <c r="B5639" i="1"/>
  <c r="B5618" i="1"/>
  <c r="B5648" i="1"/>
  <c r="F5616" i="1"/>
  <c r="B6791" i="1"/>
  <c r="B6604" i="1"/>
  <c r="F6543" i="1"/>
  <c r="B6077" i="1"/>
  <c r="F5757" i="1"/>
  <c r="B5697" i="1"/>
  <c r="B5687" i="1"/>
  <c r="B5669" i="1"/>
  <c r="B5658" i="1"/>
  <c r="B5637" i="1"/>
  <c r="B5581" i="1"/>
  <c r="F5660" i="1"/>
  <c r="F6904" i="1"/>
  <c r="F6846" i="1"/>
  <c r="B6727" i="1"/>
  <c r="B6598" i="1"/>
  <c r="B6471" i="1"/>
  <c r="F6409" i="1"/>
  <c r="B5932" i="1"/>
  <c r="B5757" i="1"/>
  <c r="F5696" i="1"/>
  <c r="F5686" i="1"/>
  <c r="B5667" i="1"/>
  <c r="F5657" i="1"/>
  <c r="F5646" i="1"/>
  <c r="F5636" i="1"/>
  <c r="B5627" i="1"/>
  <c r="F5580" i="1"/>
  <c r="B5651" i="1"/>
  <c r="B6960" i="1"/>
  <c r="F6840" i="1"/>
  <c r="B6721" i="1"/>
  <c r="B6465" i="1"/>
  <c r="F6403" i="1"/>
  <c r="F6288" i="1"/>
  <c r="F5832" i="1"/>
  <c r="F5722" i="1"/>
  <c r="B5696" i="1"/>
  <c r="B5685" i="1"/>
  <c r="F5666" i="1"/>
  <c r="B5657" i="1"/>
  <c r="B5646" i="1"/>
  <c r="B5636" i="1"/>
  <c r="B5625" i="1"/>
  <c r="F5721" i="1"/>
  <c r="F5664" i="1"/>
  <c r="F5654" i="1"/>
  <c r="B5634" i="1"/>
  <c r="F5672" i="1"/>
  <c r="B5708" i="1"/>
  <c r="B6954" i="1"/>
  <c r="F6776" i="1"/>
  <c r="B6715" i="1"/>
  <c r="B6459" i="1"/>
  <c r="F6219" i="1"/>
  <c r="F6062" i="1"/>
  <c r="F5966" i="1"/>
  <c r="B5832" i="1"/>
  <c r="B5722" i="1"/>
  <c r="F5695" i="1"/>
  <c r="B5666" i="1"/>
  <c r="B5655" i="1"/>
  <c r="F5645" i="1"/>
  <c r="F5634" i="1"/>
  <c r="F5624" i="1"/>
  <c r="B5645" i="1"/>
  <c r="B5624" i="1"/>
  <c r="F5642" i="1"/>
  <c r="B5691" i="1"/>
  <c r="B5631" i="1"/>
  <c r="B5619" i="1"/>
  <c r="B6948" i="1"/>
  <c r="B6890" i="1"/>
  <c r="F6770" i="1"/>
  <c r="B6645" i="1"/>
  <c r="B6453" i="1"/>
  <c r="F6334" i="1"/>
  <c r="F6213" i="1"/>
  <c r="F6151" i="1"/>
  <c r="F5745" i="1"/>
  <c r="F5693" i="1"/>
  <c r="F5663" i="1"/>
  <c r="B5622" i="1"/>
  <c r="B5642" i="1"/>
  <c r="B5809" i="1"/>
  <c r="B6884" i="1"/>
  <c r="B6826" i="1"/>
  <c r="B6639" i="1"/>
  <c r="F6520" i="1"/>
  <c r="B6004" i="1"/>
  <c r="B5745" i="1"/>
  <c r="B5720" i="1"/>
  <c r="B5693" i="1"/>
  <c r="B5664" i="1"/>
  <c r="B5654" i="1"/>
  <c r="B5643" i="1"/>
  <c r="F5633" i="1"/>
  <c r="F5622" i="1"/>
  <c r="B5673" i="1"/>
  <c r="B5633" i="1"/>
  <c r="B5663" i="1"/>
  <c r="F5621" i="1"/>
  <c r="F5670" i="1"/>
  <c r="F6700" i="1"/>
  <c r="F6514" i="1"/>
  <c r="B6095" i="1"/>
  <c r="B6050" i="1"/>
  <c r="B6002" i="1"/>
  <c r="B5910" i="1"/>
  <c r="F5744" i="1"/>
  <c r="F5692" i="1"/>
  <c r="F5652" i="1"/>
  <c r="B5652" i="1"/>
  <c r="F6933" i="1"/>
  <c r="F6438" i="1"/>
  <c r="B6199" i="1"/>
  <c r="B6091" i="1"/>
  <c r="B6001" i="1"/>
  <c r="F5593" i="1"/>
  <c r="B5630" i="1"/>
  <c r="B6995" i="1"/>
  <c r="F6927" i="1"/>
  <c r="F6869" i="1"/>
  <c r="F6624" i="1"/>
  <c r="B6193" i="1"/>
  <c r="B6089" i="1"/>
  <c r="F5854" i="1"/>
  <c r="F5809" i="1"/>
  <c r="F5690" i="1"/>
  <c r="B5672" i="1"/>
  <c r="B5661" i="1"/>
  <c r="F5651" i="1"/>
  <c r="F5640" i="1"/>
  <c r="F5630" i="1"/>
  <c r="B5621" i="1"/>
  <c r="B5593" i="1"/>
  <c r="F6747" i="1"/>
  <c r="F6311" i="1"/>
  <c r="B6187" i="1"/>
  <c r="B6085" i="1"/>
  <c r="F6039" i="1"/>
  <c r="F5943" i="1"/>
  <c r="B5640" i="1"/>
  <c r="F24" i="1" l="1"/>
  <c r="F5944" i="1"/>
  <c r="F6040" i="1"/>
  <c r="F5855" i="1"/>
  <c r="F6870" i="1"/>
  <c r="F6938" i="1"/>
  <c r="F5595" i="1"/>
  <c r="F5747" i="1"/>
  <c r="F6521" i="1"/>
  <c r="F6152" i="1"/>
  <c r="F6335" i="1"/>
  <c r="F6781" i="1"/>
  <c r="F5833" i="1"/>
  <c r="F6289" i="1"/>
  <c r="F6414" i="1"/>
  <c r="F5583" i="1"/>
  <c r="F6906" i="1"/>
  <c r="F5759" i="1"/>
  <c r="F5675" i="1"/>
  <c r="F5734" i="1"/>
  <c r="F6129" i="1"/>
  <c r="F5782" i="1"/>
  <c r="F5811" i="1"/>
  <c r="F5967" i="1"/>
  <c r="F5989" i="1"/>
  <c r="F6018" i="1"/>
  <c r="F6174" i="1"/>
  <c r="F6245" i="1"/>
  <c r="F6267" i="1"/>
  <c r="F6382" i="1"/>
  <c r="F6491" i="1"/>
  <c r="F6662" i="1"/>
  <c r="F7018" i="1"/>
  <c r="F7057" i="1"/>
  <c r="F5866" i="1"/>
  <c r="F6504" i="1"/>
  <c r="F6577" i="1"/>
  <c r="F6704" i="1"/>
  <c r="F6978" i="1"/>
  <c r="F7158" i="1"/>
  <c r="F5844" i="1"/>
  <c r="F6051" i="1"/>
  <c r="F6300" i="1"/>
  <c r="F6346" i="1"/>
  <c r="F6532" i="1"/>
  <c r="F6555" i="1"/>
  <c r="F6894" i="1"/>
  <c r="F7068" i="1"/>
  <c r="F5710" i="1"/>
  <c r="F5900" i="1"/>
  <c r="F5922" i="1"/>
  <c r="F6107" i="1"/>
  <c r="F6221" i="1"/>
  <c r="F6442" i="1"/>
  <c r="F6749" i="1"/>
  <c r="F6848" i="1"/>
  <c r="F7135" i="1"/>
  <c r="F5771" i="1"/>
  <c r="F6007" i="1"/>
  <c r="F6029" i="1"/>
  <c r="F6096" i="1"/>
  <c r="F6200" i="1"/>
  <c r="F6233" i="1"/>
  <c r="F6278" i="1"/>
  <c r="F6324" i="1"/>
  <c r="F6393" i="1"/>
  <c r="F6650" i="1"/>
  <c r="F6760" i="1"/>
  <c r="F6859" i="1"/>
  <c r="F6917" i="1"/>
  <c r="F5606" i="1"/>
  <c r="F5794" i="1"/>
  <c r="F5822" i="1"/>
  <c r="F5877" i="1"/>
  <c r="F6588" i="1"/>
  <c r="F6626" i="1"/>
  <c r="F6816" i="1"/>
  <c r="F5955" i="1"/>
  <c r="F5978" i="1"/>
  <c r="F6141" i="1"/>
  <c r="F6163" i="1"/>
  <c r="F6256" i="1"/>
  <c r="F6371" i="1"/>
  <c r="F6686" i="1"/>
  <c r="F7029" i="1"/>
  <c r="F7147" i="1"/>
  <c r="F7186" i="1"/>
  <c r="F6064" i="1"/>
  <c r="F6313" i="1"/>
  <c r="F6360" i="1"/>
  <c r="F6544" i="1"/>
  <c r="F6566" i="1"/>
  <c r="F7096" i="1"/>
  <c r="F5933" i="1"/>
  <c r="F6118" i="1"/>
  <c r="F6476" i="1"/>
  <c r="F6728" i="1"/>
  <c r="F7006" i="1"/>
  <c r="F7197" i="1"/>
  <c r="F5698" i="1"/>
  <c r="F5723" i="1"/>
  <c r="F5888" i="1"/>
  <c r="F5911" i="1"/>
  <c r="F6425" i="1"/>
  <c r="F6612" i="1"/>
  <c r="F6805" i="1"/>
  <c r="F6827" i="1"/>
  <c r="F6966" i="1"/>
  <c r="F7107" i="1"/>
  <c r="C5566" i="1" l="1"/>
  <c r="C5564" i="1"/>
  <c r="C5538" i="1"/>
  <c r="C5536" i="1"/>
  <c r="C5527" i="1"/>
  <c r="C5525" i="1"/>
  <c r="C5515" i="1"/>
  <c r="C5513" i="1"/>
  <c r="C5487" i="1"/>
  <c r="C5485" i="1"/>
  <c r="C5476" i="1"/>
  <c r="C5474" i="1"/>
  <c r="C5448" i="1"/>
  <c r="C5446" i="1"/>
  <c r="C5437" i="1"/>
  <c r="C5435" i="1"/>
  <c r="C5409" i="1"/>
  <c r="C5407" i="1"/>
  <c r="C5398" i="1"/>
  <c r="C5396" i="1"/>
  <c r="C5386" i="1"/>
  <c r="C5384" i="1"/>
  <c r="C5358" i="1"/>
  <c r="C5356" i="1"/>
  <c r="C5346" i="1"/>
  <c r="C5344" i="1"/>
  <c r="C5318" i="1"/>
  <c r="C5316" i="1"/>
  <c r="C5297" i="1"/>
  <c r="C5295" i="1"/>
  <c r="C5286" i="1"/>
  <c r="C5284" i="1"/>
  <c r="C5274" i="1"/>
  <c r="C5272" i="1"/>
  <c r="C5250" i="1"/>
  <c r="C5248" i="1"/>
  <c r="C5239" i="1"/>
  <c r="C5237" i="1"/>
  <c r="C5228" i="1"/>
  <c r="C5226" i="1"/>
  <c r="C5207" i="1"/>
  <c r="C5205" i="1"/>
  <c r="C5196" i="1"/>
  <c r="C5194" i="1"/>
  <c r="C5185" i="1"/>
  <c r="C5183" i="1"/>
  <c r="C5161" i="1"/>
  <c r="C5159" i="1"/>
  <c r="C5140" i="1"/>
  <c r="C5138" i="1"/>
  <c r="C5129" i="1"/>
  <c r="C5127" i="1"/>
  <c r="C5108" i="1"/>
  <c r="C5106" i="1"/>
  <c r="C5084" i="1"/>
  <c r="C5082" i="1"/>
  <c r="C5066" i="1"/>
  <c r="C5064" i="1"/>
  <c r="C5042" i="1"/>
  <c r="C5040" i="1"/>
  <c r="C5030" i="1"/>
  <c r="C5028" i="1"/>
  <c r="C5006" i="1"/>
  <c r="C5004" i="1"/>
  <c r="C4992" i="1"/>
  <c r="C4990" i="1"/>
  <c r="C4968" i="1"/>
  <c r="C4966" i="1"/>
  <c r="C4957" i="1"/>
  <c r="C4955" i="1"/>
  <c r="C4946" i="1"/>
  <c r="C4944" i="1"/>
  <c r="C4935" i="1"/>
  <c r="C4933" i="1"/>
  <c r="C4924" i="1"/>
  <c r="C4922" i="1"/>
  <c r="C4912" i="1"/>
  <c r="C4910" i="1"/>
  <c r="C4901" i="1"/>
  <c r="C4899" i="1"/>
  <c r="C4884" i="1"/>
  <c r="C4882" i="1"/>
  <c r="C4871" i="1"/>
  <c r="C4869" i="1"/>
  <c r="C4856" i="1"/>
  <c r="C4854" i="1"/>
  <c r="C4822" i="1"/>
  <c r="C4820" i="1"/>
  <c r="C4805" i="1"/>
  <c r="C4803" i="1"/>
  <c r="C4794" i="1"/>
  <c r="C4792" i="1"/>
  <c r="C4773" i="1"/>
  <c r="C4771" i="1"/>
  <c r="C4762" i="1"/>
  <c r="C4760" i="1"/>
  <c r="C4751" i="1"/>
  <c r="C4749" i="1"/>
  <c r="C4740" i="1"/>
  <c r="C4738" i="1"/>
  <c r="C4726" i="1"/>
  <c r="C4724" i="1"/>
  <c r="C4715" i="1"/>
  <c r="C4713" i="1"/>
  <c r="C4704" i="1"/>
  <c r="C4702" i="1"/>
  <c r="C4693" i="1"/>
  <c r="C4691" i="1"/>
  <c r="C4680" i="1"/>
  <c r="C4678" i="1"/>
  <c r="C4669" i="1"/>
  <c r="C4667" i="1"/>
  <c r="C4658" i="1"/>
  <c r="C4656" i="1"/>
  <c r="C4647" i="1"/>
  <c r="C4645" i="1"/>
  <c r="C4636" i="1"/>
  <c r="C4634" i="1"/>
  <c r="C4625" i="1"/>
  <c r="C4623" i="1"/>
  <c r="C4613" i="1"/>
  <c r="C4611" i="1"/>
  <c r="C4601" i="1"/>
  <c r="C4599" i="1"/>
  <c r="C4580" i="1"/>
  <c r="C4578" i="1"/>
  <c r="C4554" i="1"/>
  <c r="C4552" i="1"/>
  <c r="C4543" i="1"/>
  <c r="C4541" i="1"/>
  <c r="C4532" i="1"/>
  <c r="C4530" i="1"/>
  <c r="C4521" i="1"/>
  <c r="C4519" i="1"/>
  <c r="C4509" i="1"/>
  <c r="C4507" i="1"/>
  <c r="C4498" i="1"/>
  <c r="C4496" i="1"/>
  <c r="C4487" i="1"/>
  <c r="C4485" i="1"/>
  <c r="C4476" i="1"/>
  <c r="C4474" i="1"/>
  <c r="C4444" i="1"/>
  <c r="C4442" i="1"/>
  <c r="C4431" i="1"/>
  <c r="C4429" i="1"/>
  <c r="C4420" i="1"/>
  <c r="C4418" i="1"/>
  <c r="C4409" i="1"/>
  <c r="C4407" i="1"/>
  <c r="C4398" i="1"/>
  <c r="C4396" i="1"/>
  <c r="C4387" i="1"/>
  <c r="C4385" i="1"/>
  <c r="C4369" i="1"/>
  <c r="C4367" i="1"/>
  <c r="C4358" i="1"/>
  <c r="C4356" i="1"/>
  <c r="C4347" i="1"/>
  <c r="C4345" i="1"/>
  <c r="C4335" i="1"/>
  <c r="C4333" i="1"/>
  <c r="C4324" i="1"/>
  <c r="C4322" i="1"/>
  <c r="C4313" i="1"/>
  <c r="C4311" i="1"/>
  <c r="C4302" i="1"/>
  <c r="C4300" i="1"/>
  <c r="C4291" i="1"/>
  <c r="C4289" i="1"/>
  <c r="C4280" i="1"/>
  <c r="C4278" i="1"/>
  <c r="C4268" i="1"/>
  <c r="C4266" i="1"/>
  <c r="C4257" i="1"/>
  <c r="C4255" i="1"/>
  <c r="C4246" i="1"/>
  <c r="C4244" i="1"/>
  <c r="C4235" i="1"/>
  <c r="C4233" i="1"/>
  <c r="C4224" i="1"/>
  <c r="C4222" i="1"/>
  <c r="C4213" i="1"/>
  <c r="C4211" i="1"/>
  <c r="C4202" i="1"/>
  <c r="C4200" i="1"/>
  <c r="C4191" i="1"/>
  <c r="C4189" i="1"/>
  <c r="C4174" i="1"/>
  <c r="C4172" i="1"/>
  <c r="C4162" i="1"/>
  <c r="C4160" i="1"/>
  <c r="C4151" i="1"/>
  <c r="C4149" i="1"/>
  <c r="C4139" i="1"/>
  <c r="C4137" i="1"/>
  <c r="C4127" i="1"/>
  <c r="C4125" i="1"/>
  <c r="C4114" i="1"/>
  <c r="C4112" i="1"/>
  <c r="C4103" i="1"/>
  <c r="C4101" i="1"/>
  <c r="C4090" i="1"/>
  <c r="C4088" i="1"/>
  <c r="C4078" i="1"/>
  <c r="C4076" i="1"/>
  <c r="C4055" i="1"/>
  <c r="C4053" i="1"/>
  <c r="C3986" i="1"/>
  <c r="C3984" i="1"/>
  <c r="C3975" i="1"/>
  <c r="C3973" i="1"/>
  <c r="C3963" i="1"/>
  <c r="C3961" i="1"/>
  <c r="C3950" i="1"/>
  <c r="C3948" i="1"/>
  <c r="F5555" i="1"/>
  <c r="F5549" i="1"/>
  <c r="F5543" i="1"/>
  <c r="B5506" i="1"/>
  <c r="B5500" i="1"/>
  <c r="B5494" i="1"/>
  <c r="F5479" i="1"/>
  <c r="B5465" i="1"/>
  <c r="B5459" i="1"/>
  <c r="B5453" i="1"/>
  <c r="B5424" i="1"/>
  <c r="B5418" i="1"/>
  <c r="B5412" i="1"/>
  <c r="B5389" i="1"/>
  <c r="F5374" i="1"/>
  <c r="F5368" i="1"/>
  <c r="F5362" i="1"/>
  <c r="F5333" i="1"/>
  <c r="F5327" i="1"/>
  <c r="F5321" i="1"/>
  <c r="B5307" i="1"/>
  <c r="B5301" i="1"/>
  <c r="B5278" i="1"/>
  <c r="F5263" i="1"/>
  <c r="F5257" i="1"/>
  <c r="B5220" i="1"/>
  <c r="B5214" i="1"/>
  <c r="F5199" i="1"/>
  <c r="F5176" i="1"/>
  <c r="F5170" i="1"/>
  <c r="F5164" i="1"/>
  <c r="B5150" i="1"/>
  <c r="B5144" i="1"/>
  <c r="B5121" i="1"/>
  <c r="B5115" i="1"/>
  <c r="F5100" i="1"/>
  <c r="F5094" i="1"/>
  <c r="F5088" i="1"/>
  <c r="B5074" i="1"/>
  <c r="F5053" i="1"/>
  <c r="F5047" i="1"/>
  <c r="B5033" i="1"/>
  <c r="F5018" i="1"/>
  <c r="F5012" i="1"/>
  <c r="B4998" i="1"/>
  <c r="F4983" i="1"/>
  <c r="F4977" i="1"/>
  <c r="F4971" i="1"/>
  <c r="B4888" i="1"/>
  <c r="B4859" i="1"/>
  <c r="F4844" i="1"/>
  <c r="F4838" i="1"/>
  <c r="F4832" i="1"/>
  <c r="F4826" i="1"/>
  <c r="B4812" i="1"/>
  <c r="F4797" i="1"/>
  <c r="B4783" i="1"/>
  <c r="B4777" i="1"/>
  <c r="B4754" i="1"/>
  <c r="B4731" i="1"/>
  <c r="B4685" i="1"/>
  <c r="B4639" i="1"/>
  <c r="B4616" i="1"/>
  <c r="B4593" i="1"/>
  <c r="B4587" i="1"/>
  <c r="F4572" i="1"/>
  <c r="F4566" i="1"/>
  <c r="F4560" i="1"/>
  <c r="B4546" i="1"/>
  <c r="F4468" i="1"/>
  <c r="F4462" i="1"/>
  <c r="F4456" i="1"/>
  <c r="F4450" i="1"/>
  <c r="B4436" i="1"/>
  <c r="B4390" i="1"/>
  <c r="F4375" i="1"/>
  <c r="B4361" i="1"/>
  <c r="B4338" i="1"/>
  <c r="F4283" i="1"/>
  <c r="F4260" i="1"/>
  <c r="B4183" i="1"/>
  <c r="B4177" i="1"/>
  <c r="B4154" i="1"/>
  <c r="B4131" i="1"/>
  <c r="F4093" i="1"/>
  <c r="F4070" i="1"/>
  <c r="F4064" i="1"/>
  <c r="F4058" i="1"/>
  <c r="B4044" i="1"/>
  <c r="B4038" i="1"/>
  <c r="B4032" i="1"/>
  <c r="B4026" i="1"/>
  <c r="B4020" i="1"/>
  <c r="B4014" i="1"/>
  <c r="B4008" i="1"/>
  <c r="B4002" i="1"/>
  <c r="B3996" i="1"/>
  <c r="B3990" i="1"/>
  <c r="B4019" i="1"/>
  <c r="B4001" i="1"/>
  <c r="F4106" i="1"/>
  <c r="F4036" i="1"/>
  <c r="F4018" i="1"/>
  <c r="F5569" i="1"/>
  <c r="B5555" i="1"/>
  <c r="B5549" i="1"/>
  <c r="B5543" i="1"/>
  <c r="F5505" i="1"/>
  <c r="F5499" i="1"/>
  <c r="F5493" i="1"/>
  <c r="B5479" i="1"/>
  <c r="F5464" i="1"/>
  <c r="F5458" i="1"/>
  <c r="F5452" i="1"/>
  <c r="F5429" i="1"/>
  <c r="F5423" i="1"/>
  <c r="F5417" i="1"/>
  <c r="B5374" i="1"/>
  <c r="B5368" i="1"/>
  <c r="B5362" i="1"/>
  <c r="B5333" i="1"/>
  <c r="B5327" i="1"/>
  <c r="B5321" i="1"/>
  <c r="F5306" i="1"/>
  <c r="F5300" i="1"/>
  <c r="F5277" i="1"/>
  <c r="B5263" i="1"/>
  <c r="B5257" i="1"/>
  <c r="F5242" i="1"/>
  <c r="F5219" i="1"/>
  <c r="F5213" i="1"/>
  <c r="B5199" i="1"/>
  <c r="B5176" i="1"/>
  <c r="B5170" i="1"/>
  <c r="B5164" i="1"/>
  <c r="F5149" i="1"/>
  <c r="F5143" i="1"/>
  <c r="F5120" i="1"/>
  <c r="F5114" i="1"/>
  <c r="B5100" i="1"/>
  <c r="B5094" i="1"/>
  <c r="B5088" i="1"/>
  <c r="F5073" i="1"/>
  <c r="B5053" i="1"/>
  <c r="B5047" i="1"/>
  <c r="B5018" i="1"/>
  <c r="B5012" i="1"/>
  <c r="F4997" i="1"/>
  <c r="B4983" i="1"/>
  <c r="B4977" i="1"/>
  <c r="B4971" i="1"/>
  <c r="F4916" i="1"/>
  <c r="F4893" i="1"/>
  <c r="F4887" i="1"/>
  <c r="B4844" i="1"/>
  <c r="B4838" i="1"/>
  <c r="B4832" i="1"/>
  <c r="B4826" i="1"/>
  <c r="F4811" i="1"/>
  <c r="B4797" i="1"/>
  <c r="F4782" i="1"/>
  <c r="F4776" i="1"/>
  <c r="F4730" i="1"/>
  <c r="F4707" i="1"/>
  <c r="F4684" i="1"/>
  <c r="F4661" i="1"/>
  <c r="F4592" i="1"/>
  <c r="F4586" i="1"/>
  <c r="B4572" i="1"/>
  <c r="B4566" i="1"/>
  <c r="B4560" i="1"/>
  <c r="B4468" i="1"/>
  <c r="B4462" i="1"/>
  <c r="B4456" i="1"/>
  <c r="B4450" i="1"/>
  <c r="F4435" i="1"/>
  <c r="F4412" i="1"/>
  <c r="B4375" i="1"/>
  <c r="B4283" i="1"/>
  <c r="B4260" i="1"/>
  <c r="F4205" i="1"/>
  <c r="F4182" i="1"/>
  <c r="F4130" i="1"/>
  <c r="B4093" i="1"/>
  <c r="B4070" i="1"/>
  <c r="B4064" i="1"/>
  <c r="B4058" i="1"/>
  <c r="F4043" i="1"/>
  <c r="F4037" i="1"/>
  <c r="F4031" i="1"/>
  <c r="F4025" i="1"/>
  <c r="F4019" i="1"/>
  <c r="F4013" i="1"/>
  <c r="F4007" i="1"/>
  <c r="F4001" i="1"/>
  <c r="F3995" i="1"/>
  <c r="F3989" i="1"/>
  <c r="F3966" i="1"/>
  <c r="F4000" i="1"/>
  <c r="B5569" i="1"/>
  <c r="F5554" i="1"/>
  <c r="F5548" i="1"/>
  <c r="F5542" i="1"/>
  <c r="F5519" i="1"/>
  <c r="B5505" i="1"/>
  <c r="B5499" i="1"/>
  <c r="B5493" i="1"/>
  <c r="B5464" i="1"/>
  <c r="B5458" i="1"/>
  <c r="B5452" i="1"/>
  <c r="B5429" i="1"/>
  <c r="B5423" i="1"/>
  <c r="B5417" i="1"/>
  <c r="F5373" i="1"/>
  <c r="F5367" i="1"/>
  <c r="F5361" i="1"/>
  <c r="F5338" i="1"/>
  <c r="F5332" i="1"/>
  <c r="F5326" i="1"/>
  <c r="B5306" i="1"/>
  <c r="B5300" i="1"/>
  <c r="B5277" i="1"/>
  <c r="F5262" i="1"/>
  <c r="F5256" i="1"/>
  <c r="B5242" i="1"/>
  <c r="B5219" i="1"/>
  <c r="B5213" i="1"/>
  <c r="F5175" i="1"/>
  <c r="F5169" i="1"/>
  <c r="B5149" i="1"/>
  <c r="B5143" i="1"/>
  <c r="B5120" i="1"/>
  <c r="B5114" i="1"/>
  <c r="F5099" i="1"/>
  <c r="F5093" i="1"/>
  <c r="F5087" i="1"/>
  <c r="B5073" i="1"/>
  <c r="F5058" i="1"/>
  <c r="F5052" i="1"/>
  <c r="F5046" i="1"/>
  <c r="F5017" i="1"/>
  <c r="F5011" i="1"/>
  <c r="B4997" i="1"/>
  <c r="F4982" i="1"/>
  <c r="F4976" i="1"/>
  <c r="B4916" i="1"/>
  <c r="B4893" i="1"/>
  <c r="B4887" i="1"/>
  <c r="F4843" i="1"/>
  <c r="F4837" i="1"/>
  <c r="F4831" i="1"/>
  <c r="F4825" i="1"/>
  <c r="B4811" i="1"/>
  <c r="B4782" i="1"/>
  <c r="B4776" i="1"/>
  <c r="B4730" i="1"/>
  <c r="B4707" i="1"/>
  <c r="B4684" i="1"/>
  <c r="B4661" i="1"/>
  <c r="B4592" i="1"/>
  <c r="B4586" i="1"/>
  <c r="F4571" i="1"/>
  <c r="F4565" i="1"/>
  <c r="F4559" i="1"/>
  <c r="F4513" i="1"/>
  <c r="F4490" i="1"/>
  <c r="F4467" i="1"/>
  <c r="F4461" i="1"/>
  <c r="F4455" i="1"/>
  <c r="F4449" i="1"/>
  <c r="B4435" i="1"/>
  <c r="B4412" i="1"/>
  <c r="F4374" i="1"/>
  <c r="F4305" i="1"/>
  <c r="B4205" i="1"/>
  <c r="B4182" i="1"/>
  <c r="B4130" i="1"/>
  <c r="F4069" i="1"/>
  <c r="F4063" i="1"/>
  <c r="B4043" i="1"/>
  <c r="B4037" i="1"/>
  <c r="B4031" i="1"/>
  <c r="B4025" i="1"/>
  <c r="B4007" i="1"/>
  <c r="B3966" i="1"/>
  <c r="B4063" i="1"/>
  <c r="F4030" i="1"/>
  <c r="B5554" i="1"/>
  <c r="B5548" i="1"/>
  <c r="B5542" i="1"/>
  <c r="B5519" i="1"/>
  <c r="F5504" i="1"/>
  <c r="F5498" i="1"/>
  <c r="F5492" i="1"/>
  <c r="F5463" i="1"/>
  <c r="F5457" i="1"/>
  <c r="F5451" i="1"/>
  <c r="F5428" i="1"/>
  <c r="F5422" i="1"/>
  <c r="F5416" i="1"/>
  <c r="B5373" i="1"/>
  <c r="B5367" i="1"/>
  <c r="B5361" i="1"/>
  <c r="B5338" i="1"/>
  <c r="B5332" i="1"/>
  <c r="B5326" i="1"/>
  <c r="F5305" i="1"/>
  <c r="B5262" i="1"/>
  <c r="B5256" i="1"/>
  <c r="F5218" i="1"/>
  <c r="F5212" i="1"/>
  <c r="B5175" i="1"/>
  <c r="B5169" i="1"/>
  <c r="F5148" i="1"/>
  <c r="F5119" i="1"/>
  <c r="F5113" i="1"/>
  <c r="B5099" i="1"/>
  <c r="B5093" i="1"/>
  <c r="B5087" i="1"/>
  <c r="F5072" i="1"/>
  <c r="B5058" i="1"/>
  <c r="B5052" i="1"/>
  <c r="B5046" i="1"/>
  <c r="B5017" i="1"/>
  <c r="B5011" i="1"/>
  <c r="F4996" i="1"/>
  <c r="B4982" i="1"/>
  <c r="B4976" i="1"/>
  <c r="F4938" i="1"/>
  <c r="F4915" i="1"/>
  <c r="F4892" i="1"/>
  <c r="F4863" i="1"/>
  <c r="B4843" i="1"/>
  <c r="B4837" i="1"/>
  <c r="B4831" i="1"/>
  <c r="B4825" i="1"/>
  <c r="F4810" i="1"/>
  <c r="F4781" i="1"/>
  <c r="F4729" i="1"/>
  <c r="F4683" i="1"/>
  <c r="F4591" i="1"/>
  <c r="F4585" i="1"/>
  <c r="B4571" i="1"/>
  <c r="B4565" i="1"/>
  <c r="B4559" i="1"/>
  <c r="B4513" i="1"/>
  <c r="B4490" i="1"/>
  <c r="B4467" i="1"/>
  <c r="B4461" i="1"/>
  <c r="B4455" i="1"/>
  <c r="B4449" i="1"/>
  <c r="F4434" i="1"/>
  <c r="B4374" i="1"/>
  <c r="B4305" i="1"/>
  <c r="F4227" i="1"/>
  <c r="F4181" i="1"/>
  <c r="F3994" i="1"/>
  <c r="F5553" i="1"/>
  <c r="F5547" i="1"/>
  <c r="F5541" i="1"/>
  <c r="F5518" i="1"/>
  <c r="B5504" i="1"/>
  <c r="B5498" i="1"/>
  <c r="B5492" i="1"/>
  <c r="B5463" i="1"/>
  <c r="B5457" i="1"/>
  <c r="B5451" i="1"/>
  <c r="B5428" i="1"/>
  <c r="B5422" i="1"/>
  <c r="B5416" i="1"/>
  <c r="F5401" i="1"/>
  <c r="F5378" i="1"/>
  <c r="F5372" i="1"/>
  <c r="F5366" i="1"/>
  <c r="F5337" i="1"/>
  <c r="F5331" i="1"/>
  <c r="F5325" i="1"/>
  <c r="B5305" i="1"/>
  <c r="F5261" i="1"/>
  <c r="F5255" i="1"/>
  <c r="B5218" i="1"/>
  <c r="B5212" i="1"/>
  <c r="F5174" i="1"/>
  <c r="F5168" i="1"/>
  <c r="B5148" i="1"/>
  <c r="B5119" i="1"/>
  <c r="B5113" i="1"/>
  <c r="F5098" i="1"/>
  <c r="F5092" i="1"/>
  <c r="B5072" i="1"/>
  <c r="F5057" i="1"/>
  <c r="F5051" i="1"/>
  <c r="F5045" i="1"/>
  <c r="F5022" i="1"/>
  <c r="F5016" i="1"/>
  <c r="F5010" i="1"/>
  <c r="B4996" i="1"/>
  <c r="F4981" i="1"/>
  <c r="F4975" i="1"/>
  <c r="B4938" i="1"/>
  <c r="B4915" i="1"/>
  <c r="B4892" i="1"/>
  <c r="B4863" i="1"/>
  <c r="F4848" i="1"/>
  <c r="F4842" i="1"/>
  <c r="F4836" i="1"/>
  <c r="F4830" i="1"/>
  <c r="B4810" i="1"/>
  <c r="B4781" i="1"/>
  <c r="F4743" i="1"/>
  <c r="B4729" i="1"/>
  <c r="B4683" i="1"/>
  <c r="F4628" i="1"/>
  <c r="F4605" i="1"/>
  <c r="B4591" i="1"/>
  <c r="B4585" i="1"/>
  <c r="F4570" i="1"/>
  <c r="F4564" i="1"/>
  <c r="F4558" i="1"/>
  <c r="F4535" i="1"/>
  <c r="F4512" i="1"/>
  <c r="F4466" i="1"/>
  <c r="F4460" i="1"/>
  <c r="F4454" i="1"/>
  <c r="F4448" i="1"/>
  <c r="B4434" i="1"/>
  <c r="F4379" i="1"/>
  <c r="F4373" i="1"/>
  <c r="F4350" i="1"/>
  <c r="F4327" i="1"/>
  <c r="B4227" i="1"/>
  <c r="B4181" i="1"/>
  <c r="F4166" i="1"/>
  <c r="F4143" i="1"/>
  <c r="B4106" i="1"/>
  <c r="F4068" i="1"/>
  <c r="F4062" i="1"/>
  <c r="B4042" i="1"/>
  <c r="B4036" i="1"/>
  <c r="B4030" i="1"/>
  <c r="B4024" i="1"/>
  <c r="B4018" i="1"/>
  <c r="B4012" i="1"/>
  <c r="B4006" i="1"/>
  <c r="B4000" i="1"/>
  <c r="B3994" i="1"/>
  <c r="B4005" i="1"/>
  <c r="F3955" i="1"/>
  <c r="F3991" i="1"/>
  <c r="B5553" i="1"/>
  <c r="B5547" i="1"/>
  <c r="B5541" i="1"/>
  <c r="B5518" i="1"/>
  <c r="F5503" i="1"/>
  <c r="F5497" i="1"/>
  <c r="F5491" i="1"/>
  <c r="F5468" i="1"/>
  <c r="F5462" i="1"/>
  <c r="F5456" i="1"/>
  <c r="F5427" i="1"/>
  <c r="F5421" i="1"/>
  <c r="F5415" i="1"/>
  <c r="B5401" i="1"/>
  <c r="B5378" i="1"/>
  <c r="B5372" i="1"/>
  <c r="B5366" i="1"/>
  <c r="B5337" i="1"/>
  <c r="B5331" i="1"/>
  <c r="B5325" i="1"/>
  <c r="F5310" i="1"/>
  <c r="F5304" i="1"/>
  <c r="B5261" i="1"/>
  <c r="B5255" i="1"/>
  <c r="F5217" i="1"/>
  <c r="F5211" i="1"/>
  <c r="F5188" i="1"/>
  <c r="B5174" i="1"/>
  <c r="B5168" i="1"/>
  <c r="F5153" i="1"/>
  <c r="F5147" i="1"/>
  <c r="F5118" i="1"/>
  <c r="F5112" i="1"/>
  <c r="B5098" i="1"/>
  <c r="B5092" i="1"/>
  <c r="F5071" i="1"/>
  <c r="B5057" i="1"/>
  <c r="B5051" i="1"/>
  <c r="B5045" i="1"/>
  <c r="B5022" i="1"/>
  <c r="B5016" i="1"/>
  <c r="B5010" i="1"/>
  <c r="F4995" i="1"/>
  <c r="B4981" i="1"/>
  <c r="B4975" i="1"/>
  <c r="F4960" i="1"/>
  <c r="F4891" i="1"/>
  <c r="F4862" i="1"/>
  <c r="B4848" i="1"/>
  <c r="B4842" i="1"/>
  <c r="B4836" i="1"/>
  <c r="B4830" i="1"/>
  <c r="F4809" i="1"/>
  <c r="F4786" i="1"/>
  <c r="F4780" i="1"/>
  <c r="B4743" i="1"/>
  <c r="B4628" i="1"/>
  <c r="B4605" i="1"/>
  <c r="F4590" i="1"/>
  <c r="F4584" i="1"/>
  <c r="B4570" i="1"/>
  <c r="B4564" i="1"/>
  <c r="B4558" i="1"/>
  <c r="B4535" i="1"/>
  <c r="B4512" i="1"/>
  <c r="B4466" i="1"/>
  <c r="B4460" i="1"/>
  <c r="B4454" i="1"/>
  <c r="B4448" i="1"/>
  <c r="B4379" i="1"/>
  <c r="B4373" i="1"/>
  <c r="B4350" i="1"/>
  <c r="B4327" i="1"/>
  <c r="F4272" i="1"/>
  <c r="F4249" i="1"/>
  <c r="F4180" i="1"/>
  <c r="B4166" i="1"/>
  <c r="B4143" i="1"/>
  <c r="F4082" i="1"/>
  <c r="B4068" i="1"/>
  <c r="B4062" i="1"/>
  <c r="F4047" i="1"/>
  <c r="F4041" i="1"/>
  <c r="F4035" i="1"/>
  <c r="F4029" i="1"/>
  <c r="F4023" i="1"/>
  <c r="F4017" i="1"/>
  <c r="F4011" i="1"/>
  <c r="F4005" i="1"/>
  <c r="F3999" i="1"/>
  <c r="F3993" i="1"/>
  <c r="B4082" i="1"/>
  <c r="F4067" i="1"/>
  <c r="B4047" i="1"/>
  <c r="B4035" i="1"/>
  <c r="B4023" i="1"/>
  <c r="B4011" i="1"/>
  <c r="B3993" i="1"/>
  <c r="F4021" i="1"/>
  <c r="B3954" i="1"/>
  <c r="F5558" i="1"/>
  <c r="F5552" i="1"/>
  <c r="F5546" i="1"/>
  <c r="B5503" i="1"/>
  <c r="B5497" i="1"/>
  <c r="B5491" i="1"/>
  <c r="B5468" i="1"/>
  <c r="B5462" i="1"/>
  <c r="B5456" i="1"/>
  <c r="B5427" i="1"/>
  <c r="B5421" i="1"/>
  <c r="B5415" i="1"/>
  <c r="F5377" i="1"/>
  <c r="F5371" i="1"/>
  <c r="F5365" i="1"/>
  <c r="F5336" i="1"/>
  <c r="F5330" i="1"/>
  <c r="F5324" i="1"/>
  <c r="B5310" i="1"/>
  <c r="B5304" i="1"/>
  <c r="F5289" i="1"/>
  <c r="F5266" i="1"/>
  <c r="F5260" i="1"/>
  <c r="F5254" i="1"/>
  <c r="F5231" i="1"/>
  <c r="B5217" i="1"/>
  <c r="B5211" i="1"/>
  <c r="B5188" i="1"/>
  <c r="F5173" i="1"/>
  <c r="F5167" i="1"/>
  <c r="B5153" i="1"/>
  <c r="B5147" i="1"/>
  <c r="F5132" i="1"/>
  <c r="B5118" i="1"/>
  <c r="B5112" i="1"/>
  <c r="F5097" i="1"/>
  <c r="F5091" i="1"/>
  <c r="B5071" i="1"/>
  <c r="F5056" i="1"/>
  <c r="F5050" i="1"/>
  <c r="F5021" i="1"/>
  <c r="F5015" i="1"/>
  <c r="F5009" i="1"/>
  <c r="B4995" i="1"/>
  <c r="F4980" i="1"/>
  <c r="F4974" i="1"/>
  <c r="B4960" i="1"/>
  <c r="B4891" i="1"/>
  <c r="F4876" i="1"/>
  <c r="B4862" i="1"/>
  <c r="F4847" i="1"/>
  <c r="F4841" i="1"/>
  <c r="F4835" i="1"/>
  <c r="F4829" i="1"/>
  <c r="B4809" i="1"/>
  <c r="B4786" i="1"/>
  <c r="B4780" i="1"/>
  <c r="F4765" i="1"/>
  <c r="F4696" i="1"/>
  <c r="F4650" i="1"/>
  <c r="F4604" i="1"/>
  <c r="B4590" i="1"/>
  <c r="B4584" i="1"/>
  <c r="F4569" i="1"/>
  <c r="F4563" i="1"/>
  <c r="F4557" i="1"/>
  <c r="F4465" i="1"/>
  <c r="F4459" i="1"/>
  <c r="F4453" i="1"/>
  <c r="F4447" i="1"/>
  <c r="F4401" i="1"/>
  <c r="F4378" i="1"/>
  <c r="F4372" i="1"/>
  <c r="B4272" i="1"/>
  <c r="B4249" i="1"/>
  <c r="F4194" i="1"/>
  <c r="B4180" i="1"/>
  <c r="F4165" i="1"/>
  <c r="F4142" i="1"/>
  <c r="F4119" i="1"/>
  <c r="F4061" i="1"/>
  <c r="B4041" i="1"/>
  <c r="B4029" i="1"/>
  <c r="B4017" i="1"/>
  <c r="B3999" i="1"/>
  <c r="F3978" i="1"/>
  <c r="B4095" i="1"/>
  <c r="F4045" i="1"/>
  <c r="F4015" i="1"/>
  <c r="B5558" i="1"/>
  <c r="B5552" i="1"/>
  <c r="B5546" i="1"/>
  <c r="F5502" i="1"/>
  <c r="F5496" i="1"/>
  <c r="F5490" i="1"/>
  <c r="F5467" i="1"/>
  <c r="F5461" i="1"/>
  <c r="F5455" i="1"/>
  <c r="F5426" i="1"/>
  <c r="F5420" i="1"/>
  <c r="F5414" i="1"/>
  <c r="B5377" i="1"/>
  <c r="B5371" i="1"/>
  <c r="B5365" i="1"/>
  <c r="F5350" i="1"/>
  <c r="B5336" i="1"/>
  <c r="B5330" i="1"/>
  <c r="B5324" i="1"/>
  <c r="F5309" i="1"/>
  <c r="F5303" i="1"/>
  <c r="B5289" i="1"/>
  <c r="B5266" i="1"/>
  <c r="B5260" i="1"/>
  <c r="B5254" i="1"/>
  <c r="B5231" i="1"/>
  <c r="F5216" i="1"/>
  <c r="F5210" i="1"/>
  <c r="B5173" i="1"/>
  <c r="B5167" i="1"/>
  <c r="F5152" i="1"/>
  <c r="F5146" i="1"/>
  <c r="B5132" i="1"/>
  <c r="F5117" i="1"/>
  <c r="F5111" i="1"/>
  <c r="B5097" i="1"/>
  <c r="B5091" i="1"/>
  <c r="F5076" i="1"/>
  <c r="F5070" i="1"/>
  <c r="B5056" i="1"/>
  <c r="B5050" i="1"/>
  <c r="B5021" i="1"/>
  <c r="B5015" i="1"/>
  <c r="B5009" i="1"/>
  <c r="B4980" i="1"/>
  <c r="B4974" i="1"/>
  <c r="F4890" i="1"/>
  <c r="B4876" i="1"/>
  <c r="F4861" i="1"/>
  <c r="B4847" i="1"/>
  <c r="B4841" i="1"/>
  <c r="B4835" i="1"/>
  <c r="B4829" i="1"/>
  <c r="F4814" i="1"/>
  <c r="F4808" i="1"/>
  <c r="F4785" i="1"/>
  <c r="F4779" i="1"/>
  <c r="B4765" i="1"/>
  <c r="B4696" i="1"/>
  <c r="B4650" i="1"/>
  <c r="B4604" i="1"/>
  <c r="F4589" i="1"/>
  <c r="F4583" i="1"/>
  <c r="B4569" i="1"/>
  <c r="B4563" i="1"/>
  <c r="B4557" i="1"/>
  <c r="F4479" i="1"/>
  <c r="B4465" i="1"/>
  <c r="B4459" i="1"/>
  <c r="B4453" i="1"/>
  <c r="B4447" i="1"/>
  <c r="B4401" i="1"/>
  <c r="B4378" i="1"/>
  <c r="B4372" i="1"/>
  <c r="F4294" i="1"/>
  <c r="F4271" i="1"/>
  <c r="B4194" i="1"/>
  <c r="F4179" i="1"/>
  <c r="B4165" i="1"/>
  <c r="B4142" i="1"/>
  <c r="B4119" i="1"/>
  <c r="F4081" i="1"/>
  <c r="B4067" i="1"/>
  <c r="B4061" i="1"/>
  <c r="F4046" i="1"/>
  <c r="F4040" i="1"/>
  <c r="F4034" i="1"/>
  <c r="F4028" i="1"/>
  <c r="F4022" i="1"/>
  <c r="F4016" i="1"/>
  <c r="F4010" i="1"/>
  <c r="F4004" i="1"/>
  <c r="F3998" i="1"/>
  <c r="F3992" i="1"/>
  <c r="B3978" i="1"/>
  <c r="B3955" i="1"/>
  <c r="B4016" i="1"/>
  <c r="B4004" i="1"/>
  <c r="B3992" i="1"/>
  <c r="F3954" i="1"/>
  <c r="F4039" i="1"/>
  <c r="F3997" i="1"/>
  <c r="F5557" i="1"/>
  <c r="F5551" i="1"/>
  <c r="F5545" i="1"/>
  <c r="B5502" i="1"/>
  <c r="B5496" i="1"/>
  <c r="B5490" i="1"/>
  <c r="B5467" i="1"/>
  <c r="B5461" i="1"/>
  <c r="B5455" i="1"/>
  <c r="F5440" i="1"/>
  <c r="B5426" i="1"/>
  <c r="B5420" i="1"/>
  <c r="B5414" i="1"/>
  <c r="F5376" i="1"/>
  <c r="F5370" i="1"/>
  <c r="F5364" i="1"/>
  <c r="B5350" i="1"/>
  <c r="F5335" i="1"/>
  <c r="F5329" i="1"/>
  <c r="F5323" i="1"/>
  <c r="B5309" i="1"/>
  <c r="B5303" i="1"/>
  <c r="F5265" i="1"/>
  <c r="F5259" i="1"/>
  <c r="F5253" i="1"/>
  <c r="B5216" i="1"/>
  <c r="B5210" i="1"/>
  <c r="F5172" i="1"/>
  <c r="F5166" i="1"/>
  <c r="B5152" i="1"/>
  <c r="B5146" i="1"/>
  <c r="B5117" i="1"/>
  <c r="B5111" i="1"/>
  <c r="F5096" i="1"/>
  <c r="F5090" i="1"/>
  <c r="B5076" i="1"/>
  <c r="B5070" i="1"/>
  <c r="F5055" i="1"/>
  <c r="F5049" i="1"/>
  <c r="F5020" i="1"/>
  <c r="F5014" i="1"/>
  <c r="F4979" i="1"/>
  <c r="F4973" i="1"/>
  <c r="F4927" i="1"/>
  <c r="F4904" i="1"/>
  <c r="B4890" i="1"/>
  <c r="F4875" i="1"/>
  <c r="B4861" i="1"/>
  <c r="F4846" i="1"/>
  <c r="F4840" i="1"/>
  <c r="F4834" i="1"/>
  <c r="F4828" i="1"/>
  <c r="B4814" i="1"/>
  <c r="B4808" i="1"/>
  <c r="B4785" i="1"/>
  <c r="B4779" i="1"/>
  <c r="F4718" i="1"/>
  <c r="F4672" i="1"/>
  <c r="B4589" i="1"/>
  <c r="B4583" i="1"/>
  <c r="F4568" i="1"/>
  <c r="F4562" i="1"/>
  <c r="B4479" i="1"/>
  <c r="F4464" i="1"/>
  <c r="F4458" i="1"/>
  <c r="F4452" i="1"/>
  <c r="F4423" i="1"/>
  <c r="F4377" i="1"/>
  <c r="B4294" i="1"/>
  <c r="B4271" i="1"/>
  <c r="F4216" i="1"/>
  <c r="B4179" i="1"/>
  <c r="F4118" i="1"/>
  <c r="F4095" i="1"/>
  <c r="B4081" i="1"/>
  <c r="F4066" i="1"/>
  <c r="F4060" i="1"/>
  <c r="B4046" i="1"/>
  <c r="B4040" i="1"/>
  <c r="B4034" i="1"/>
  <c r="B4028" i="1"/>
  <c r="B4022" i="1"/>
  <c r="B4010" i="1"/>
  <c r="B3998" i="1"/>
  <c r="F4178" i="1"/>
  <c r="B4118" i="1"/>
  <c r="B4060" i="1"/>
  <c r="F4027" i="1"/>
  <c r="F4003" i="1"/>
  <c r="B5557" i="1"/>
  <c r="B5551" i="1"/>
  <c r="B5545" i="1"/>
  <c r="F5530" i="1"/>
  <c r="F5507" i="1"/>
  <c r="F5501" i="1"/>
  <c r="F5495" i="1"/>
  <c r="F5466" i="1"/>
  <c r="F5460" i="1"/>
  <c r="F5454" i="1"/>
  <c r="B5440" i="1"/>
  <c r="F5425" i="1"/>
  <c r="F5419" i="1"/>
  <c r="F5413" i="1"/>
  <c r="F5390" i="1"/>
  <c r="B5376" i="1"/>
  <c r="B5370" i="1"/>
  <c r="B5364" i="1"/>
  <c r="F5349" i="1"/>
  <c r="B5335" i="1"/>
  <c r="B5329" i="1"/>
  <c r="B5323" i="1"/>
  <c r="F5308" i="1"/>
  <c r="F5302" i="1"/>
  <c r="B5265" i="1"/>
  <c r="B5259" i="1"/>
  <c r="B5253" i="1"/>
  <c r="F5215" i="1"/>
  <c r="B5172" i="1"/>
  <c r="B5166" i="1"/>
  <c r="F5151" i="1"/>
  <c r="F5145" i="1"/>
  <c r="F5116" i="1"/>
  <c r="B5096" i="1"/>
  <c r="B5090" i="1"/>
  <c r="F5075" i="1"/>
  <c r="F5069" i="1"/>
  <c r="B5055" i="1"/>
  <c r="B5049" i="1"/>
  <c r="F5034" i="1"/>
  <c r="B5020" i="1"/>
  <c r="B5014" i="1"/>
  <c r="B4979" i="1"/>
  <c r="B4973" i="1"/>
  <c r="B4927" i="1"/>
  <c r="B4904" i="1"/>
  <c r="F4889" i="1"/>
  <c r="B4875" i="1"/>
  <c r="F4860" i="1"/>
  <c r="B4846" i="1"/>
  <c r="B4840" i="1"/>
  <c r="B4834" i="1"/>
  <c r="B4828" i="1"/>
  <c r="F4813" i="1"/>
  <c r="F4784" i="1"/>
  <c r="F4778" i="1"/>
  <c r="F4732" i="1"/>
  <c r="B4718" i="1"/>
  <c r="B4672" i="1"/>
  <c r="F4617" i="1"/>
  <c r="F4588" i="1"/>
  <c r="B4568" i="1"/>
  <c r="B4562" i="1"/>
  <c r="F4524" i="1"/>
  <c r="F4501" i="1"/>
  <c r="B4464" i="1"/>
  <c r="B4458" i="1"/>
  <c r="B4452" i="1"/>
  <c r="B4423" i="1"/>
  <c r="B4377" i="1"/>
  <c r="F4339" i="1"/>
  <c r="F4316" i="1"/>
  <c r="B4216" i="1"/>
  <c r="B4066" i="1"/>
  <c r="F4033" i="1"/>
  <c r="F4009" i="1"/>
  <c r="F5556" i="1"/>
  <c r="F5550" i="1"/>
  <c r="F5544" i="1"/>
  <c r="B5530" i="1"/>
  <c r="B5507" i="1"/>
  <c r="B5501" i="1"/>
  <c r="B5495" i="1"/>
  <c r="B5466" i="1"/>
  <c r="B5460" i="1"/>
  <c r="B5454" i="1"/>
  <c r="B5425" i="1"/>
  <c r="B5419" i="1"/>
  <c r="B5413" i="1"/>
  <c r="B5390" i="1"/>
  <c r="F5375" i="1"/>
  <c r="F5369" i="1"/>
  <c r="F5363" i="1"/>
  <c r="B5349" i="1"/>
  <c r="F5334" i="1"/>
  <c r="F5328" i="1"/>
  <c r="F5322" i="1"/>
  <c r="B5308" i="1"/>
  <c r="B5302" i="1"/>
  <c r="F5264" i="1"/>
  <c r="F5258" i="1"/>
  <c r="B5215" i="1"/>
  <c r="F5177" i="1"/>
  <c r="F5171" i="1"/>
  <c r="F5165" i="1"/>
  <c r="B5151" i="1"/>
  <c r="B5145" i="1"/>
  <c r="B5116" i="1"/>
  <c r="F5095" i="1"/>
  <c r="F5089" i="1"/>
  <c r="B5075" i="1"/>
  <c r="B5069" i="1"/>
  <c r="F5054" i="1"/>
  <c r="F5048" i="1"/>
  <c r="B5034" i="1"/>
  <c r="F5019" i="1"/>
  <c r="F5013" i="1"/>
  <c r="F4984" i="1"/>
  <c r="F4978" i="1"/>
  <c r="F4972" i="1"/>
  <c r="F4949" i="1"/>
  <c r="B4889" i="1"/>
  <c r="F4874" i="1"/>
  <c r="B4860" i="1"/>
  <c r="F4845" i="1"/>
  <c r="F4839" i="1"/>
  <c r="F4833" i="1"/>
  <c r="F4827" i="1"/>
  <c r="B4813" i="1"/>
  <c r="B4784" i="1"/>
  <c r="B4778" i="1"/>
  <c r="B4732" i="1"/>
  <c r="B4617" i="1"/>
  <c r="B4588" i="1"/>
  <c r="F4567" i="1"/>
  <c r="F4561" i="1"/>
  <c r="B4524" i="1"/>
  <c r="B4501" i="1"/>
  <c r="F4463" i="1"/>
  <c r="F4457" i="1"/>
  <c r="F4451" i="1"/>
  <c r="F4376" i="1"/>
  <c r="B4339" i="1"/>
  <c r="B4316" i="1"/>
  <c r="F4238" i="1"/>
  <c r="B4178" i="1"/>
  <c r="F4117" i="1"/>
  <c r="F4094" i="1"/>
  <c r="F4065" i="1"/>
  <c r="F4059" i="1"/>
  <c r="B4045" i="1"/>
  <c r="B4039" i="1"/>
  <c r="B4033" i="1"/>
  <c r="B4027" i="1"/>
  <c r="B4021" i="1"/>
  <c r="B4015" i="1"/>
  <c r="B4009" i="1"/>
  <c r="B4003" i="1"/>
  <c r="B3997" i="1"/>
  <c r="B3991" i="1"/>
  <c r="F3953" i="1"/>
  <c r="B3967" i="1"/>
  <c r="B4013" i="1"/>
  <c r="B3995" i="1"/>
  <c r="B4069" i="1"/>
  <c r="F4042" i="1"/>
  <c r="F4024" i="1"/>
  <c r="F4012" i="1"/>
  <c r="B5556" i="1"/>
  <c r="B5550" i="1"/>
  <c r="B5544" i="1"/>
  <c r="F5506" i="1"/>
  <c r="F5500" i="1"/>
  <c r="F5494" i="1"/>
  <c r="F5465" i="1"/>
  <c r="F5459" i="1"/>
  <c r="F5453" i="1"/>
  <c r="F5424" i="1"/>
  <c r="F5418" i="1"/>
  <c r="F5412" i="1"/>
  <c r="F5389" i="1"/>
  <c r="B5375" i="1"/>
  <c r="B5369" i="1"/>
  <c r="B5363" i="1"/>
  <c r="B5334" i="1"/>
  <c r="B5328" i="1"/>
  <c r="B5322" i="1"/>
  <c r="F5307" i="1"/>
  <c r="F5301" i="1"/>
  <c r="F5278" i="1"/>
  <c r="B5264" i="1"/>
  <c r="B5258" i="1"/>
  <c r="F5220" i="1"/>
  <c r="F5214" i="1"/>
  <c r="B5177" i="1"/>
  <c r="B5171" i="1"/>
  <c r="B5165" i="1"/>
  <c r="F5150" i="1"/>
  <c r="F5144" i="1"/>
  <c r="F5121" i="1"/>
  <c r="F5115" i="1"/>
  <c r="B5095" i="1"/>
  <c r="B5089" i="1"/>
  <c r="F5074" i="1"/>
  <c r="B5054" i="1"/>
  <c r="B5048" i="1"/>
  <c r="F5033" i="1"/>
  <c r="B5019" i="1"/>
  <c r="B5013" i="1"/>
  <c r="F4998" i="1"/>
  <c r="B4984" i="1"/>
  <c r="B4978" i="1"/>
  <c r="B4972" i="1"/>
  <c r="B4949" i="1"/>
  <c r="F4888" i="1"/>
  <c r="B4874" i="1"/>
  <c r="F4859" i="1"/>
  <c r="B4845" i="1"/>
  <c r="B4839" i="1"/>
  <c r="B4833" i="1"/>
  <c r="B4827" i="1"/>
  <c r="F4812" i="1"/>
  <c r="F4783" i="1"/>
  <c r="F4777" i="1"/>
  <c r="F4754" i="1"/>
  <c r="F4731" i="1"/>
  <c r="F4685" i="1"/>
  <c r="F4639" i="1"/>
  <c r="F4616" i="1"/>
  <c r="F4593" i="1"/>
  <c r="F4587" i="1"/>
  <c r="B4567" i="1"/>
  <c r="B4561" i="1"/>
  <c r="F4546" i="1"/>
  <c r="B4463" i="1"/>
  <c r="B4457" i="1"/>
  <c r="B4451" i="1"/>
  <c r="F4436" i="1"/>
  <c r="F4390" i="1"/>
  <c r="B4376" i="1"/>
  <c r="F4361" i="1"/>
  <c r="F4338" i="1"/>
  <c r="B4238" i="1"/>
  <c r="F4183" i="1"/>
  <c r="F4177" i="1"/>
  <c r="F4154" i="1"/>
  <c r="F4131" i="1"/>
  <c r="B4117" i="1"/>
  <c r="B4094" i="1"/>
  <c r="B4065" i="1"/>
  <c r="B4059" i="1"/>
  <c r="F4044" i="1"/>
  <c r="F4038" i="1"/>
  <c r="F4032" i="1"/>
  <c r="F4026" i="1"/>
  <c r="F4020" i="1"/>
  <c r="F4014" i="1"/>
  <c r="F4008" i="1"/>
  <c r="F4002" i="1"/>
  <c r="F3996" i="1"/>
  <c r="F3990" i="1"/>
  <c r="F3967" i="1"/>
  <c r="B3953" i="1"/>
  <c r="B3989" i="1"/>
  <c r="F4006" i="1"/>
  <c r="F4155" i="1" l="1"/>
  <c r="F4184" i="1"/>
  <c r="F4340" i="1"/>
  <c r="F4362" i="1"/>
  <c r="F4391" i="1"/>
  <c r="F4547" i="1"/>
  <c r="F4618" i="1"/>
  <c r="F4640" i="1"/>
  <c r="F4755" i="1"/>
  <c r="F4864" i="1"/>
  <c r="F5035" i="1"/>
  <c r="F5391" i="1"/>
  <c r="F5430" i="1"/>
  <c r="F3956" i="1"/>
  <c r="F4120" i="1"/>
  <c r="F4239" i="1"/>
  <c r="F4877" i="1"/>
  <c r="F4950" i="1"/>
  <c r="F4317" i="1"/>
  <c r="F4502" i="1"/>
  <c r="F4525" i="1"/>
  <c r="F5077" i="1"/>
  <c r="F5351" i="1"/>
  <c r="F5531" i="1"/>
  <c r="F4217" i="1"/>
  <c r="F4424" i="1"/>
  <c r="F4673" i="1"/>
  <c r="F4719" i="1"/>
  <c r="F4905" i="1"/>
  <c r="F4928" i="1"/>
  <c r="F5267" i="1"/>
  <c r="F5441" i="1"/>
  <c r="F4083" i="1"/>
  <c r="F4273" i="1"/>
  <c r="F4295" i="1"/>
  <c r="F4480" i="1"/>
  <c r="F4594" i="1"/>
  <c r="F4815" i="1"/>
  <c r="F5122" i="1"/>
  <c r="F5221" i="1"/>
  <c r="F5508" i="1"/>
  <c r="F3979" i="1"/>
  <c r="F4144" i="1"/>
  <c r="F4167" i="1"/>
  <c r="F4195" i="1"/>
  <c r="F4380" i="1"/>
  <c r="F4402" i="1"/>
  <c r="F4469" i="1"/>
  <c r="F4573" i="1"/>
  <c r="F4606" i="1"/>
  <c r="F4651" i="1"/>
  <c r="F4697" i="1"/>
  <c r="F4766" i="1"/>
  <c r="F5023" i="1"/>
  <c r="F5133" i="1"/>
  <c r="F5232" i="1"/>
  <c r="F5290" i="1"/>
  <c r="F4250" i="1"/>
  <c r="F4961" i="1"/>
  <c r="F4999" i="1"/>
  <c r="F5189" i="1"/>
  <c r="F4328" i="1"/>
  <c r="F4351" i="1"/>
  <c r="F4514" i="1"/>
  <c r="F4536" i="1"/>
  <c r="F4629" i="1"/>
  <c r="F4744" i="1"/>
  <c r="F5059" i="1"/>
  <c r="F5402" i="1"/>
  <c r="F5520" i="1"/>
  <c r="F5559" i="1"/>
  <c r="F4228" i="1"/>
  <c r="F4437" i="1"/>
  <c r="F4686" i="1"/>
  <c r="F4733" i="1"/>
  <c r="F4917" i="1"/>
  <c r="F4939" i="1"/>
  <c r="F5469" i="1"/>
  <c r="F4306" i="1"/>
  <c r="F4491" i="1"/>
  <c r="F4849" i="1"/>
  <c r="F5101" i="1"/>
  <c r="F5379" i="1"/>
  <c r="F3968" i="1"/>
  <c r="F4048" i="1"/>
  <c r="F4132" i="1"/>
  <c r="F4206" i="1"/>
  <c r="F4413" i="1"/>
  <c r="F4662" i="1"/>
  <c r="F4708" i="1"/>
  <c r="F4787" i="1"/>
  <c r="F4894" i="1"/>
  <c r="F5154" i="1"/>
  <c r="F5243" i="1"/>
  <c r="F5279" i="1"/>
  <c r="F5311" i="1"/>
  <c r="F5570" i="1"/>
  <c r="F4107" i="1"/>
  <c r="F4071" i="1"/>
  <c r="F4096" i="1"/>
  <c r="F4261" i="1"/>
  <c r="F4284" i="1"/>
  <c r="F4798" i="1"/>
  <c r="F4985" i="1"/>
  <c r="F5178" i="1"/>
  <c r="F5200" i="1"/>
  <c r="F5339" i="1"/>
  <c r="F5480" i="1"/>
  <c r="C3939" i="1" l="1"/>
  <c r="C3937" i="1"/>
  <c r="C3911" i="1"/>
  <c r="C3909" i="1"/>
  <c r="C3900" i="1"/>
  <c r="C3898" i="1"/>
  <c r="C3888" i="1"/>
  <c r="C3886" i="1"/>
  <c r="C3860" i="1"/>
  <c r="C3858" i="1"/>
  <c r="C3849" i="1"/>
  <c r="C3847" i="1"/>
  <c r="C3821" i="1"/>
  <c r="C3819" i="1"/>
  <c r="C3810" i="1"/>
  <c r="C3808" i="1"/>
  <c r="C3782" i="1"/>
  <c r="C3780" i="1"/>
  <c r="C3771" i="1"/>
  <c r="C3769" i="1"/>
  <c r="C3759" i="1"/>
  <c r="C3757" i="1"/>
  <c r="C3731" i="1"/>
  <c r="C3729" i="1"/>
  <c r="C3719" i="1"/>
  <c r="C3717" i="1"/>
  <c r="C3691" i="1"/>
  <c r="C3689" i="1"/>
  <c r="C3670" i="1"/>
  <c r="C3668" i="1"/>
  <c r="C3659" i="1"/>
  <c r="C3657" i="1"/>
  <c r="C3647" i="1"/>
  <c r="C3645" i="1"/>
  <c r="C3623" i="1"/>
  <c r="C3621" i="1"/>
  <c r="C3612" i="1"/>
  <c r="C3610" i="1"/>
  <c r="C3601" i="1"/>
  <c r="C3599" i="1"/>
  <c r="C3580" i="1"/>
  <c r="C3578" i="1"/>
  <c r="C3569" i="1"/>
  <c r="C3567" i="1"/>
  <c r="C3558" i="1"/>
  <c r="C3556" i="1"/>
  <c r="C3534" i="1"/>
  <c r="C3532" i="1"/>
  <c r="C3513" i="1"/>
  <c r="C3511" i="1"/>
  <c r="C3502" i="1"/>
  <c r="C3500" i="1"/>
  <c r="C3481" i="1"/>
  <c r="C3479" i="1"/>
  <c r="C3457" i="1"/>
  <c r="C3455" i="1"/>
  <c r="C3439" i="1"/>
  <c r="C3437" i="1"/>
  <c r="C3415" i="1"/>
  <c r="C3413" i="1"/>
  <c r="C3403" i="1"/>
  <c r="C3401" i="1"/>
  <c r="C3379" i="1"/>
  <c r="C3377" i="1"/>
  <c r="C3365" i="1"/>
  <c r="C3363" i="1"/>
  <c r="C3341" i="1"/>
  <c r="C3339" i="1"/>
  <c r="C3330" i="1"/>
  <c r="C3328" i="1"/>
  <c r="C3319" i="1"/>
  <c r="C3317" i="1"/>
  <c r="C3308" i="1"/>
  <c r="C3306" i="1"/>
  <c r="C3297" i="1"/>
  <c r="C3295" i="1"/>
  <c r="C3285" i="1"/>
  <c r="C3283" i="1"/>
  <c r="C3274" i="1"/>
  <c r="C3272" i="1"/>
  <c r="C3257" i="1"/>
  <c r="C3255" i="1"/>
  <c r="C3244" i="1"/>
  <c r="C3242" i="1"/>
  <c r="C3229" i="1"/>
  <c r="C3227" i="1"/>
  <c r="C3195" i="1"/>
  <c r="C3193" i="1"/>
  <c r="C3178" i="1"/>
  <c r="C3176" i="1"/>
  <c r="C3167" i="1"/>
  <c r="C3165" i="1"/>
  <c r="C3146" i="1"/>
  <c r="C3144" i="1"/>
  <c r="C3135" i="1"/>
  <c r="C3133" i="1"/>
  <c r="C3124" i="1"/>
  <c r="C3122" i="1"/>
  <c r="C3113" i="1"/>
  <c r="C3111" i="1"/>
  <c r="C3099" i="1"/>
  <c r="C3097" i="1"/>
  <c r="C3088" i="1"/>
  <c r="C3086" i="1"/>
  <c r="C3077" i="1"/>
  <c r="C3075" i="1"/>
  <c r="C3066" i="1"/>
  <c r="C3064" i="1"/>
  <c r="C3053" i="1"/>
  <c r="C3051" i="1"/>
  <c r="C3042" i="1"/>
  <c r="C3040" i="1"/>
  <c r="C3031" i="1"/>
  <c r="C3029" i="1"/>
  <c r="C3020" i="1"/>
  <c r="C3018" i="1"/>
  <c r="C3009" i="1"/>
  <c r="C3007" i="1"/>
  <c r="C2998" i="1"/>
  <c r="C2996" i="1"/>
  <c r="C2986" i="1"/>
  <c r="C2984" i="1"/>
  <c r="C2974" i="1"/>
  <c r="C2972" i="1"/>
  <c r="C2953" i="1"/>
  <c r="C2951" i="1"/>
  <c r="C2927" i="1"/>
  <c r="C2925" i="1"/>
  <c r="C2916" i="1"/>
  <c r="C2914" i="1"/>
  <c r="C2905" i="1"/>
  <c r="C2903" i="1"/>
  <c r="C2894" i="1"/>
  <c r="C2892" i="1"/>
  <c r="C2882" i="1"/>
  <c r="C2880" i="1"/>
  <c r="C2871" i="1"/>
  <c r="C2869" i="1"/>
  <c r="C2860" i="1"/>
  <c r="C2858" i="1"/>
  <c r="C2849" i="1"/>
  <c r="C2847" i="1"/>
  <c r="C2817" i="1"/>
  <c r="C2815" i="1"/>
  <c r="C2804" i="1"/>
  <c r="C2802" i="1"/>
  <c r="C2793" i="1"/>
  <c r="C2791" i="1"/>
  <c r="C2782" i="1"/>
  <c r="C2780" i="1"/>
  <c r="C2771" i="1"/>
  <c r="C2769" i="1"/>
  <c r="C2760" i="1"/>
  <c r="C2758" i="1"/>
  <c r="C2742" i="1"/>
  <c r="C2740" i="1"/>
  <c r="C2731" i="1"/>
  <c r="C2729" i="1"/>
  <c r="C2720" i="1"/>
  <c r="C2718" i="1"/>
  <c r="C2708" i="1"/>
  <c r="C2706" i="1"/>
  <c r="C2697" i="1"/>
  <c r="C2695" i="1"/>
  <c r="C2686" i="1"/>
  <c r="C2684" i="1"/>
  <c r="C2675" i="1"/>
  <c r="C2673" i="1"/>
  <c r="C2664" i="1"/>
  <c r="C2662" i="1"/>
  <c r="C2653" i="1"/>
  <c r="C2651" i="1"/>
  <c r="C2641" i="1"/>
  <c r="C2639" i="1"/>
  <c r="C2630" i="1"/>
  <c r="C2628" i="1"/>
  <c r="C2619" i="1"/>
  <c r="C2617" i="1"/>
  <c r="C2608" i="1"/>
  <c r="C2606" i="1"/>
  <c r="C2597" i="1"/>
  <c r="C2595" i="1"/>
  <c r="C2586" i="1"/>
  <c r="C2584" i="1"/>
  <c r="C2575" i="1"/>
  <c r="C2573" i="1"/>
  <c r="C2564" i="1"/>
  <c r="C2562" i="1"/>
  <c r="C2547" i="1"/>
  <c r="C2545" i="1"/>
  <c r="C2535" i="1"/>
  <c r="C2533" i="1"/>
  <c r="C2524" i="1"/>
  <c r="C2522" i="1"/>
  <c r="C2512" i="1"/>
  <c r="C2510" i="1"/>
  <c r="C2500" i="1"/>
  <c r="C2498" i="1"/>
  <c r="C2487" i="1"/>
  <c r="C2485" i="1"/>
  <c r="C2476" i="1"/>
  <c r="C2474" i="1"/>
  <c r="C2463" i="1"/>
  <c r="C2461" i="1"/>
  <c r="C2451" i="1"/>
  <c r="C2449" i="1"/>
  <c r="C2428" i="1"/>
  <c r="C2426" i="1"/>
  <c r="C2359" i="1"/>
  <c r="C2357" i="1"/>
  <c r="C2348" i="1"/>
  <c r="C2346" i="1"/>
  <c r="C2336" i="1"/>
  <c r="C2334" i="1"/>
  <c r="C2323" i="1"/>
  <c r="C2321" i="1"/>
  <c r="F3928" i="1"/>
  <c r="F3922" i="1"/>
  <c r="F3916" i="1"/>
  <c r="B3879" i="1"/>
  <c r="B3873" i="1"/>
  <c r="B3867" i="1"/>
  <c r="F3852" i="1"/>
  <c r="B3838" i="1"/>
  <c r="B3832" i="1"/>
  <c r="B3826" i="1"/>
  <c r="B3797" i="1"/>
  <c r="B3791" i="1"/>
  <c r="B3785" i="1"/>
  <c r="B3762" i="1"/>
  <c r="F3747" i="1"/>
  <c r="F3741" i="1"/>
  <c r="F3735" i="1"/>
  <c r="F3706" i="1"/>
  <c r="F3700" i="1"/>
  <c r="F3694" i="1"/>
  <c r="B3680" i="1"/>
  <c r="B3674" i="1"/>
  <c r="B3651" i="1"/>
  <c r="F3636" i="1"/>
  <c r="F3630" i="1"/>
  <c r="B3593" i="1"/>
  <c r="B3587" i="1"/>
  <c r="F3572" i="1"/>
  <c r="F3549" i="1"/>
  <c r="F3543" i="1"/>
  <c r="F3537" i="1"/>
  <c r="B3523" i="1"/>
  <c r="B3517" i="1"/>
  <c r="B3494" i="1"/>
  <c r="B3488" i="1"/>
  <c r="F3473" i="1"/>
  <c r="F3467" i="1"/>
  <c r="F3461" i="1"/>
  <c r="B3447" i="1"/>
  <c r="F3426" i="1"/>
  <c r="F3420" i="1"/>
  <c r="B3406" i="1"/>
  <c r="F3391" i="1"/>
  <c r="F3385" i="1"/>
  <c r="B3371" i="1"/>
  <c r="F3356" i="1"/>
  <c r="F3350" i="1"/>
  <c r="F3344" i="1"/>
  <c r="B3261" i="1"/>
  <c r="B3232" i="1"/>
  <c r="F3217" i="1"/>
  <c r="F3211" i="1"/>
  <c r="F3205" i="1"/>
  <c r="F3199" i="1"/>
  <c r="B3185" i="1"/>
  <c r="F3170" i="1"/>
  <c r="B3156" i="1"/>
  <c r="B3150" i="1"/>
  <c r="B3127" i="1"/>
  <c r="B3104" i="1"/>
  <c r="B3058" i="1"/>
  <c r="B3012" i="1"/>
  <c r="B2989" i="1"/>
  <c r="B2966" i="1"/>
  <c r="B2960" i="1"/>
  <c r="F2945" i="1"/>
  <c r="F2939" i="1"/>
  <c r="F2933" i="1"/>
  <c r="B2919" i="1"/>
  <c r="F2841" i="1"/>
  <c r="F2835" i="1"/>
  <c r="F2829" i="1"/>
  <c r="F2823" i="1"/>
  <c r="B2809" i="1"/>
  <c r="B2763" i="1"/>
  <c r="F2748" i="1"/>
  <c r="B2734" i="1"/>
  <c r="B2711" i="1"/>
  <c r="F2656" i="1"/>
  <c r="F2633" i="1"/>
  <c r="B2556" i="1"/>
  <c r="B2550" i="1"/>
  <c r="B2527" i="1"/>
  <c r="B2504" i="1"/>
  <c r="F2466" i="1"/>
  <c r="F2443" i="1"/>
  <c r="F2437" i="1"/>
  <c r="F2431" i="1"/>
  <c r="B2417" i="1"/>
  <c r="B2411" i="1"/>
  <c r="B2405" i="1"/>
  <c r="B2399" i="1"/>
  <c r="B2387" i="1"/>
  <c r="B2375" i="1"/>
  <c r="B2363" i="1"/>
  <c r="F3942" i="1"/>
  <c r="B3928" i="1"/>
  <c r="B3922" i="1"/>
  <c r="B3916" i="1"/>
  <c r="F3878" i="1"/>
  <c r="F3872" i="1"/>
  <c r="F3866" i="1"/>
  <c r="B3852" i="1"/>
  <c r="F3837" i="1"/>
  <c r="F3831" i="1"/>
  <c r="F3825" i="1"/>
  <c r="F3802" i="1"/>
  <c r="F3796" i="1"/>
  <c r="F3790" i="1"/>
  <c r="B3747" i="1"/>
  <c r="B3741" i="1"/>
  <c r="B3735" i="1"/>
  <c r="B3706" i="1"/>
  <c r="B3700" i="1"/>
  <c r="B3694" i="1"/>
  <c r="F3679" i="1"/>
  <c r="F3673" i="1"/>
  <c r="F3650" i="1"/>
  <c r="B3636" i="1"/>
  <c r="B3630" i="1"/>
  <c r="F3615" i="1"/>
  <c r="F3592" i="1"/>
  <c r="F3586" i="1"/>
  <c r="B3572" i="1"/>
  <c r="B3549" i="1"/>
  <c r="B3543" i="1"/>
  <c r="B3537" i="1"/>
  <c r="F3522" i="1"/>
  <c r="F3516" i="1"/>
  <c r="F3493" i="1"/>
  <c r="F3487" i="1"/>
  <c r="B3473" i="1"/>
  <c r="B3467" i="1"/>
  <c r="B3461" i="1"/>
  <c r="F3446" i="1"/>
  <c r="B3426" i="1"/>
  <c r="B3420" i="1"/>
  <c r="B3391" i="1"/>
  <c r="B3385" i="1"/>
  <c r="F3370" i="1"/>
  <c r="B3356" i="1"/>
  <c r="B3350" i="1"/>
  <c r="B3344" i="1"/>
  <c r="F3289" i="1"/>
  <c r="F3266" i="1"/>
  <c r="F3260" i="1"/>
  <c r="B3217" i="1"/>
  <c r="B3211" i="1"/>
  <c r="B3205" i="1"/>
  <c r="B3199" i="1"/>
  <c r="F3184" i="1"/>
  <c r="B3170" i="1"/>
  <c r="F3155" i="1"/>
  <c r="F3149" i="1"/>
  <c r="F3103" i="1"/>
  <c r="F3080" i="1"/>
  <c r="F3057" i="1"/>
  <c r="F3034" i="1"/>
  <c r="F2965" i="1"/>
  <c r="F2959" i="1"/>
  <c r="B2945" i="1"/>
  <c r="B2939" i="1"/>
  <c r="B2933" i="1"/>
  <c r="B2841" i="1"/>
  <c r="B2835" i="1"/>
  <c r="B2829" i="1"/>
  <c r="B2823" i="1"/>
  <c r="F2808" i="1"/>
  <c r="F2785" i="1"/>
  <c r="B2748" i="1"/>
  <c r="B2656" i="1"/>
  <c r="B2633" i="1"/>
  <c r="F2578" i="1"/>
  <c r="F2503" i="1"/>
  <c r="B2437" i="1"/>
  <c r="F2416" i="1"/>
  <c r="B3942" i="1"/>
  <c r="F3927" i="1"/>
  <c r="F3921" i="1"/>
  <c r="F3915" i="1"/>
  <c r="F3892" i="1"/>
  <c r="B3878" i="1"/>
  <c r="B3872" i="1"/>
  <c r="B3866" i="1"/>
  <c r="B3837" i="1"/>
  <c r="B3831" i="1"/>
  <c r="B3825" i="1"/>
  <c r="B3802" i="1"/>
  <c r="B3796" i="1"/>
  <c r="B3790" i="1"/>
  <c r="F3746" i="1"/>
  <c r="F3740" i="1"/>
  <c r="F3734" i="1"/>
  <c r="F3711" i="1"/>
  <c r="F3705" i="1"/>
  <c r="F3699" i="1"/>
  <c r="B3679" i="1"/>
  <c r="B3673" i="1"/>
  <c r="B3650" i="1"/>
  <c r="F3635" i="1"/>
  <c r="F3629" i="1"/>
  <c r="B3615" i="1"/>
  <c r="B3592" i="1"/>
  <c r="B3586" i="1"/>
  <c r="F3548" i="1"/>
  <c r="F3542" i="1"/>
  <c r="B3522" i="1"/>
  <c r="B3516" i="1"/>
  <c r="B3493" i="1"/>
  <c r="B3487" i="1"/>
  <c r="F3472" i="1"/>
  <c r="F3466" i="1"/>
  <c r="F3460" i="1"/>
  <c r="B3446" i="1"/>
  <c r="F3431" i="1"/>
  <c r="F3425" i="1"/>
  <c r="F3419" i="1"/>
  <c r="F3390" i="1"/>
  <c r="F3384" i="1"/>
  <c r="B3370" i="1"/>
  <c r="F3355" i="1"/>
  <c r="F3349" i="1"/>
  <c r="B3289" i="1"/>
  <c r="B3266" i="1"/>
  <c r="B3260" i="1"/>
  <c r="F3216" i="1"/>
  <c r="F3210" i="1"/>
  <c r="F3204" i="1"/>
  <c r="F3198" i="1"/>
  <c r="B3184" i="1"/>
  <c r="B3155" i="1"/>
  <c r="B3149" i="1"/>
  <c r="B3103" i="1"/>
  <c r="B3080" i="1"/>
  <c r="B3057" i="1"/>
  <c r="B3034" i="1"/>
  <c r="B2965" i="1"/>
  <c r="B2959" i="1"/>
  <c r="F2944" i="1"/>
  <c r="F2938" i="1"/>
  <c r="F2932" i="1"/>
  <c r="F2886" i="1"/>
  <c r="F2863" i="1"/>
  <c r="F2840" i="1"/>
  <c r="F2834" i="1"/>
  <c r="F2828" i="1"/>
  <c r="F2822" i="1"/>
  <c r="B2808" i="1"/>
  <c r="B2785" i="1"/>
  <c r="F2747" i="1"/>
  <c r="F2678" i="1"/>
  <c r="B2578" i="1"/>
  <c r="B2555" i="1"/>
  <c r="B3927" i="1"/>
  <c r="B3921" i="1"/>
  <c r="B3915" i="1"/>
  <c r="B3892" i="1"/>
  <c r="F3877" i="1"/>
  <c r="F3871" i="1"/>
  <c r="F3865" i="1"/>
  <c r="F3836" i="1"/>
  <c r="F3830" i="1"/>
  <c r="F3824" i="1"/>
  <c r="F3801" i="1"/>
  <c r="F3795" i="1"/>
  <c r="F3789" i="1"/>
  <c r="B3746" i="1"/>
  <c r="B3740" i="1"/>
  <c r="B3734" i="1"/>
  <c r="B3711" i="1"/>
  <c r="B3705" i="1"/>
  <c r="B3699" i="1"/>
  <c r="F3678" i="1"/>
  <c r="B3635" i="1"/>
  <c r="B3629" i="1"/>
  <c r="F3591" i="1"/>
  <c r="F3585" i="1"/>
  <c r="B3548" i="1"/>
  <c r="B3542" i="1"/>
  <c r="F3521" i="1"/>
  <c r="F3492" i="1"/>
  <c r="F3486" i="1"/>
  <c r="B3472" i="1"/>
  <c r="B3466" i="1"/>
  <c r="B3460" i="1"/>
  <c r="F3445" i="1"/>
  <c r="B3431" i="1"/>
  <c r="B3425" i="1"/>
  <c r="B3419" i="1"/>
  <c r="B3390" i="1"/>
  <c r="B3384" i="1"/>
  <c r="F3369" i="1"/>
  <c r="B3355" i="1"/>
  <c r="B3349" i="1"/>
  <c r="F3311" i="1"/>
  <c r="F3288" i="1"/>
  <c r="F3265" i="1"/>
  <c r="F3236" i="1"/>
  <c r="B3216" i="1"/>
  <c r="B3210" i="1"/>
  <c r="B3204" i="1"/>
  <c r="B3198" i="1"/>
  <c r="F3183" i="1"/>
  <c r="F3154" i="1"/>
  <c r="F3102" i="1"/>
  <c r="F3056" i="1"/>
  <c r="F2964" i="1"/>
  <c r="F2958" i="1"/>
  <c r="B2944" i="1"/>
  <c r="B2938" i="1"/>
  <c r="B2932" i="1"/>
  <c r="B2886" i="1"/>
  <c r="B2863" i="1"/>
  <c r="B2840" i="1"/>
  <c r="B2834" i="1"/>
  <c r="B2828" i="1"/>
  <c r="B2822" i="1"/>
  <c r="F2807" i="1"/>
  <c r="B2747" i="1"/>
  <c r="B2678" i="1"/>
  <c r="F2600" i="1"/>
  <c r="F2554" i="1"/>
  <c r="F3926" i="1"/>
  <c r="F3920" i="1"/>
  <c r="F3914" i="1"/>
  <c r="F3891" i="1"/>
  <c r="B3877" i="1"/>
  <c r="B3871" i="1"/>
  <c r="B3865" i="1"/>
  <c r="B3836" i="1"/>
  <c r="B3830" i="1"/>
  <c r="B3824" i="1"/>
  <c r="B3801" i="1"/>
  <c r="B3795" i="1"/>
  <c r="B3789" i="1"/>
  <c r="F3774" i="1"/>
  <c r="F3751" i="1"/>
  <c r="F3745" i="1"/>
  <c r="F3739" i="1"/>
  <c r="F3710" i="1"/>
  <c r="F3704" i="1"/>
  <c r="F3698" i="1"/>
  <c r="B3678" i="1"/>
  <c r="F3634" i="1"/>
  <c r="F3628" i="1"/>
  <c r="B3591" i="1"/>
  <c r="B3585" i="1"/>
  <c r="F3547" i="1"/>
  <c r="F3541" i="1"/>
  <c r="B3521" i="1"/>
  <c r="B3492" i="1"/>
  <c r="B3486" i="1"/>
  <c r="F3471" i="1"/>
  <c r="F3465" i="1"/>
  <c r="B3445" i="1"/>
  <c r="F3430" i="1"/>
  <c r="F3424" i="1"/>
  <c r="F3418" i="1"/>
  <c r="F3395" i="1"/>
  <c r="F3389" i="1"/>
  <c r="F3383" i="1"/>
  <c r="B3369" i="1"/>
  <c r="F3354" i="1"/>
  <c r="F3348" i="1"/>
  <c r="B3311" i="1"/>
  <c r="B3288" i="1"/>
  <c r="B3265" i="1"/>
  <c r="B3236" i="1"/>
  <c r="F3221" i="1"/>
  <c r="F3215" i="1"/>
  <c r="F3209" i="1"/>
  <c r="F3203" i="1"/>
  <c r="B3183" i="1"/>
  <c r="B3154" i="1"/>
  <c r="F3116" i="1"/>
  <c r="B3102" i="1"/>
  <c r="B3056" i="1"/>
  <c r="F3001" i="1"/>
  <c r="F2978" i="1"/>
  <c r="B2964" i="1"/>
  <c r="B2958" i="1"/>
  <c r="F2943" i="1"/>
  <c r="F2937" i="1"/>
  <c r="F2931" i="1"/>
  <c r="F2908" i="1"/>
  <c r="F2885" i="1"/>
  <c r="F2839" i="1"/>
  <c r="F2833" i="1"/>
  <c r="F2827" i="1"/>
  <c r="F2821" i="1"/>
  <c r="B2807" i="1"/>
  <c r="F2752" i="1"/>
  <c r="F2746" i="1"/>
  <c r="F2723" i="1"/>
  <c r="F2700" i="1"/>
  <c r="B2600" i="1"/>
  <c r="B2554" i="1"/>
  <c r="F2539" i="1"/>
  <c r="F2516" i="1"/>
  <c r="B2479" i="1"/>
  <c r="F2441" i="1"/>
  <c r="B3926" i="1"/>
  <c r="B3920" i="1"/>
  <c r="B3914" i="1"/>
  <c r="B3891" i="1"/>
  <c r="F3876" i="1"/>
  <c r="F3870" i="1"/>
  <c r="F3864" i="1"/>
  <c r="F3841" i="1"/>
  <c r="F3835" i="1"/>
  <c r="F3829" i="1"/>
  <c r="F3800" i="1"/>
  <c r="F3794" i="1"/>
  <c r="F3788" i="1"/>
  <c r="B3774" i="1"/>
  <c r="B3751" i="1"/>
  <c r="B3745" i="1"/>
  <c r="B3739" i="1"/>
  <c r="B3710" i="1"/>
  <c r="B3704" i="1"/>
  <c r="B3698" i="1"/>
  <c r="F3683" i="1"/>
  <c r="F3677" i="1"/>
  <c r="B3634" i="1"/>
  <c r="B3628" i="1"/>
  <c r="F3590" i="1"/>
  <c r="F3584" i="1"/>
  <c r="F3561" i="1"/>
  <c r="B3547" i="1"/>
  <c r="B3541" i="1"/>
  <c r="F3526" i="1"/>
  <c r="F3520" i="1"/>
  <c r="F3491" i="1"/>
  <c r="F3485" i="1"/>
  <c r="B3471" i="1"/>
  <c r="B3465" i="1"/>
  <c r="F3444" i="1"/>
  <c r="B3430" i="1"/>
  <c r="B3424" i="1"/>
  <c r="B3418" i="1"/>
  <c r="B3395" i="1"/>
  <c r="B3389" i="1"/>
  <c r="B3383" i="1"/>
  <c r="F3368" i="1"/>
  <c r="B3354" i="1"/>
  <c r="B3348" i="1"/>
  <c r="F3333" i="1"/>
  <c r="F3264" i="1"/>
  <c r="F3235" i="1"/>
  <c r="B3221" i="1"/>
  <c r="B3215" i="1"/>
  <c r="B3209" i="1"/>
  <c r="B3203" i="1"/>
  <c r="F3182" i="1"/>
  <c r="F3159" i="1"/>
  <c r="F3153" i="1"/>
  <c r="B3116" i="1"/>
  <c r="B3001" i="1"/>
  <c r="B2978" i="1"/>
  <c r="F2963" i="1"/>
  <c r="F2957" i="1"/>
  <c r="B2943" i="1"/>
  <c r="B2937" i="1"/>
  <c r="B2931" i="1"/>
  <c r="B2908" i="1"/>
  <c r="B2885" i="1"/>
  <c r="B2839" i="1"/>
  <c r="B2833" i="1"/>
  <c r="B2827" i="1"/>
  <c r="B2821" i="1"/>
  <c r="B2752" i="1"/>
  <c r="B2746" i="1"/>
  <c r="B2723" i="1"/>
  <c r="B2700" i="1"/>
  <c r="F2645" i="1"/>
  <c r="F2622" i="1"/>
  <c r="F2553" i="1"/>
  <c r="B2539" i="1"/>
  <c r="B2516" i="1"/>
  <c r="F2455" i="1"/>
  <c r="B2441" i="1"/>
  <c r="B2435" i="1"/>
  <c r="F2420" i="1"/>
  <c r="F2414" i="1"/>
  <c r="F2408" i="1"/>
  <c r="F2402" i="1"/>
  <c r="F2396" i="1"/>
  <c r="F2390" i="1"/>
  <c r="F2384" i="1"/>
  <c r="F2378" i="1"/>
  <c r="F2372" i="1"/>
  <c r="F2366" i="1"/>
  <c r="B2553" i="1"/>
  <c r="F2492" i="1"/>
  <c r="B2455" i="1"/>
  <c r="F2440" i="1"/>
  <c r="B2420" i="1"/>
  <c r="B2408" i="1"/>
  <c r="B2396" i="1"/>
  <c r="B2384" i="1"/>
  <c r="B2366" i="1"/>
  <c r="F2328" i="1"/>
  <c r="B2515" i="1"/>
  <c r="B2434" i="1"/>
  <c r="F2413" i="1"/>
  <c r="F2395" i="1"/>
  <c r="F3931" i="1"/>
  <c r="F3925" i="1"/>
  <c r="F3919" i="1"/>
  <c r="B3876" i="1"/>
  <c r="B3870" i="1"/>
  <c r="B3864" i="1"/>
  <c r="B3841" i="1"/>
  <c r="B3835" i="1"/>
  <c r="B3829" i="1"/>
  <c r="B3800" i="1"/>
  <c r="B3794" i="1"/>
  <c r="B3788" i="1"/>
  <c r="F3750" i="1"/>
  <c r="F3744" i="1"/>
  <c r="F3738" i="1"/>
  <c r="F3709" i="1"/>
  <c r="F3703" i="1"/>
  <c r="F3697" i="1"/>
  <c r="B3683" i="1"/>
  <c r="B3677" i="1"/>
  <c r="F3662" i="1"/>
  <c r="F3639" i="1"/>
  <c r="F3633" i="1"/>
  <c r="F3627" i="1"/>
  <c r="F3604" i="1"/>
  <c r="B3590" i="1"/>
  <c r="B3584" i="1"/>
  <c r="B3561" i="1"/>
  <c r="F3546" i="1"/>
  <c r="F3540" i="1"/>
  <c r="B3526" i="1"/>
  <c r="B3520" i="1"/>
  <c r="F3505" i="1"/>
  <c r="B3491" i="1"/>
  <c r="B3485" i="1"/>
  <c r="F3470" i="1"/>
  <c r="F3464" i="1"/>
  <c r="B3444" i="1"/>
  <c r="F3429" i="1"/>
  <c r="F3423" i="1"/>
  <c r="F3394" i="1"/>
  <c r="F3388" i="1"/>
  <c r="F3382" i="1"/>
  <c r="B3368" i="1"/>
  <c r="F3353" i="1"/>
  <c r="F3347" i="1"/>
  <c r="B3333" i="1"/>
  <c r="B3264" i="1"/>
  <c r="F3249" i="1"/>
  <c r="B3235" i="1"/>
  <c r="F3220" i="1"/>
  <c r="F3214" i="1"/>
  <c r="F3208" i="1"/>
  <c r="F3202" i="1"/>
  <c r="B3182" i="1"/>
  <c r="B3159" i="1"/>
  <c r="B3153" i="1"/>
  <c r="F3138" i="1"/>
  <c r="F3069" i="1"/>
  <c r="F3023" i="1"/>
  <c r="F2977" i="1"/>
  <c r="B2963" i="1"/>
  <c r="B2957" i="1"/>
  <c r="F2942" i="1"/>
  <c r="F2936" i="1"/>
  <c r="F2930" i="1"/>
  <c r="F2838" i="1"/>
  <c r="F2832" i="1"/>
  <c r="F2826" i="1"/>
  <c r="F2820" i="1"/>
  <c r="F2774" i="1"/>
  <c r="F2751" i="1"/>
  <c r="F2745" i="1"/>
  <c r="B2645" i="1"/>
  <c r="B2622" i="1"/>
  <c r="F2567" i="1"/>
  <c r="F2538" i="1"/>
  <c r="F2515" i="1"/>
  <c r="F2434" i="1"/>
  <c r="B2414" i="1"/>
  <c r="B2402" i="1"/>
  <c r="B2390" i="1"/>
  <c r="B2378" i="1"/>
  <c r="B2372" i="1"/>
  <c r="F2351" i="1"/>
  <c r="B2538" i="1"/>
  <c r="B2440" i="1"/>
  <c r="F2407" i="1"/>
  <c r="F2389" i="1"/>
  <c r="B3931" i="1"/>
  <c r="B3925" i="1"/>
  <c r="B3919" i="1"/>
  <c r="F3875" i="1"/>
  <c r="F3869" i="1"/>
  <c r="F3863" i="1"/>
  <c r="F3840" i="1"/>
  <c r="F3834" i="1"/>
  <c r="F3828" i="1"/>
  <c r="F3799" i="1"/>
  <c r="F3793" i="1"/>
  <c r="F3787" i="1"/>
  <c r="B3750" i="1"/>
  <c r="B3744" i="1"/>
  <c r="B3738" i="1"/>
  <c r="F3723" i="1"/>
  <c r="B3709" i="1"/>
  <c r="B3703" i="1"/>
  <c r="B3697" i="1"/>
  <c r="F3682" i="1"/>
  <c r="F3676" i="1"/>
  <c r="B3662" i="1"/>
  <c r="B3639" i="1"/>
  <c r="B3633" i="1"/>
  <c r="B3627" i="1"/>
  <c r="B3604" i="1"/>
  <c r="F3589" i="1"/>
  <c r="F3583" i="1"/>
  <c r="B3546" i="1"/>
  <c r="B3540" i="1"/>
  <c r="F3525" i="1"/>
  <c r="F3519" i="1"/>
  <c r="B3505" i="1"/>
  <c r="F3490" i="1"/>
  <c r="F3484" i="1"/>
  <c r="B3470" i="1"/>
  <c r="B3464" i="1"/>
  <c r="F3449" i="1"/>
  <c r="F3443" i="1"/>
  <c r="B3429" i="1"/>
  <c r="B3423" i="1"/>
  <c r="B3394" i="1"/>
  <c r="B3388" i="1"/>
  <c r="B3382" i="1"/>
  <c r="B3353" i="1"/>
  <c r="B3347" i="1"/>
  <c r="F3263" i="1"/>
  <c r="B3249" i="1"/>
  <c r="F3234" i="1"/>
  <c r="B3220" i="1"/>
  <c r="B3214" i="1"/>
  <c r="B3208" i="1"/>
  <c r="B3202" i="1"/>
  <c r="F3187" i="1"/>
  <c r="F3181" i="1"/>
  <c r="F3158" i="1"/>
  <c r="F3152" i="1"/>
  <c r="B3138" i="1"/>
  <c r="B3069" i="1"/>
  <c r="B3023" i="1"/>
  <c r="B2977" i="1"/>
  <c r="F2962" i="1"/>
  <c r="F2956" i="1"/>
  <c r="B2942" i="1"/>
  <c r="B2936" i="1"/>
  <c r="B2930" i="1"/>
  <c r="F2852" i="1"/>
  <c r="B2838" i="1"/>
  <c r="B2832" i="1"/>
  <c r="B2826" i="1"/>
  <c r="B2820" i="1"/>
  <c r="B2774" i="1"/>
  <c r="B2751" i="1"/>
  <c r="B2745" i="1"/>
  <c r="F2667" i="1"/>
  <c r="F2644" i="1"/>
  <c r="B2567" i="1"/>
  <c r="F2552" i="1"/>
  <c r="B2492" i="1"/>
  <c r="F2454" i="1"/>
  <c r="F2419" i="1"/>
  <c r="F2401" i="1"/>
  <c r="F2383" i="1"/>
  <c r="F3930" i="1"/>
  <c r="F3924" i="1"/>
  <c r="F3918" i="1"/>
  <c r="B3875" i="1"/>
  <c r="B3869" i="1"/>
  <c r="B3863" i="1"/>
  <c r="B3840" i="1"/>
  <c r="B3834" i="1"/>
  <c r="B3828" i="1"/>
  <c r="F3813" i="1"/>
  <c r="B3799" i="1"/>
  <c r="B3793" i="1"/>
  <c r="B3787" i="1"/>
  <c r="F3749" i="1"/>
  <c r="F3743" i="1"/>
  <c r="F3737" i="1"/>
  <c r="B3723" i="1"/>
  <c r="F3708" i="1"/>
  <c r="F3702" i="1"/>
  <c r="F3696" i="1"/>
  <c r="B3682" i="1"/>
  <c r="B3676" i="1"/>
  <c r="F3638" i="1"/>
  <c r="F3632" i="1"/>
  <c r="F3626" i="1"/>
  <c r="B3589" i="1"/>
  <c r="B3583" i="1"/>
  <c r="F3545" i="1"/>
  <c r="F3539" i="1"/>
  <c r="B3525" i="1"/>
  <c r="B3519" i="1"/>
  <c r="B3490" i="1"/>
  <c r="B3484" i="1"/>
  <c r="F3469" i="1"/>
  <c r="F3463" i="1"/>
  <c r="B3449" i="1"/>
  <c r="B3443" i="1"/>
  <c r="F3428" i="1"/>
  <c r="F3422" i="1"/>
  <c r="F3393" i="1"/>
  <c r="F3387" i="1"/>
  <c r="F3352" i="1"/>
  <c r="F3346" i="1"/>
  <c r="F3300" i="1"/>
  <c r="F3277" i="1"/>
  <c r="B3263" i="1"/>
  <c r="F3248" i="1"/>
  <c r="B3234" i="1"/>
  <c r="F3219" i="1"/>
  <c r="F3213" i="1"/>
  <c r="F3207" i="1"/>
  <c r="F3201" i="1"/>
  <c r="B3187" i="1"/>
  <c r="B3181" i="1"/>
  <c r="B3158" i="1"/>
  <c r="B3152" i="1"/>
  <c r="F3091" i="1"/>
  <c r="F3045" i="1"/>
  <c r="B2962" i="1"/>
  <c r="B2956" i="1"/>
  <c r="F2941" i="1"/>
  <c r="F2935" i="1"/>
  <c r="B2852" i="1"/>
  <c r="F2837" i="1"/>
  <c r="F2831" i="1"/>
  <c r="F2825" i="1"/>
  <c r="F2796" i="1"/>
  <c r="F2750" i="1"/>
  <c r="B2667" i="1"/>
  <c r="B2644" i="1"/>
  <c r="F2589" i="1"/>
  <c r="B2552" i="1"/>
  <c r="B3930" i="1"/>
  <c r="B3924" i="1"/>
  <c r="B3918" i="1"/>
  <c r="F3903" i="1"/>
  <c r="F3880" i="1"/>
  <c r="F3874" i="1"/>
  <c r="F3868" i="1"/>
  <c r="F3839" i="1"/>
  <c r="F3833" i="1"/>
  <c r="F3827" i="1"/>
  <c r="B3813" i="1"/>
  <c r="F3798" i="1"/>
  <c r="F3792" i="1"/>
  <c r="F3786" i="1"/>
  <c r="F3763" i="1"/>
  <c r="B3749" i="1"/>
  <c r="B3743" i="1"/>
  <c r="B3737" i="1"/>
  <c r="F3722" i="1"/>
  <c r="B3708" i="1"/>
  <c r="B3702" i="1"/>
  <c r="B3696" i="1"/>
  <c r="F3681" i="1"/>
  <c r="F3675" i="1"/>
  <c r="B3638" i="1"/>
  <c r="B3632" i="1"/>
  <c r="B3626" i="1"/>
  <c r="F3588" i="1"/>
  <c r="B3545" i="1"/>
  <c r="B3539" i="1"/>
  <c r="F3524" i="1"/>
  <c r="F3518" i="1"/>
  <c r="F3489" i="1"/>
  <c r="B3469" i="1"/>
  <c r="B3463" i="1"/>
  <c r="F3448" i="1"/>
  <c r="F3442" i="1"/>
  <c r="B3428" i="1"/>
  <c r="B3422" i="1"/>
  <c r="F3407" i="1"/>
  <c r="B3393" i="1"/>
  <c r="B3387" i="1"/>
  <c r="B3352" i="1"/>
  <c r="B3346" i="1"/>
  <c r="B3300" i="1"/>
  <c r="B3277" i="1"/>
  <c r="F3262" i="1"/>
  <c r="B3248" i="1"/>
  <c r="F3233" i="1"/>
  <c r="B3219" i="1"/>
  <c r="B3213" i="1"/>
  <c r="B3207" i="1"/>
  <c r="B3201" i="1"/>
  <c r="F3186" i="1"/>
  <c r="F3157" i="1"/>
  <c r="F3151" i="1"/>
  <c r="F3105" i="1"/>
  <c r="B3091" i="1"/>
  <c r="B3045" i="1"/>
  <c r="F2990" i="1"/>
  <c r="F2961" i="1"/>
  <c r="B2941" i="1"/>
  <c r="B2935" i="1"/>
  <c r="F2897" i="1"/>
  <c r="F2874" i="1"/>
  <c r="B2837" i="1"/>
  <c r="B2831" i="1"/>
  <c r="B2825" i="1"/>
  <c r="B2796" i="1"/>
  <c r="B2750" i="1"/>
  <c r="F2712" i="1"/>
  <c r="F2689" i="1"/>
  <c r="B2589" i="1"/>
  <c r="F3929" i="1"/>
  <c r="F3923" i="1"/>
  <c r="F3917" i="1"/>
  <c r="B3903" i="1"/>
  <c r="B3880" i="1"/>
  <c r="B3874" i="1"/>
  <c r="B3868" i="1"/>
  <c r="B3839" i="1"/>
  <c r="B3833" i="1"/>
  <c r="B3827" i="1"/>
  <c r="B3798" i="1"/>
  <c r="B3792" i="1"/>
  <c r="B3786" i="1"/>
  <c r="B3763" i="1"/>
  <c r="F3748" i="1"/>
  <c r="F3742" i="1"/>
  <c r="F3736" i="1"/>
  <c r="B3722" i="1"/>
  <c r="F3707" i="1"/>
  <c r="F3701" i="1"/>
  <c r="F3695" i="1"/>
  <c r="B3681" i="1"/>
  <c r="B3675" i="1"/>
  <c r="F3637" i="1"/>
  <c r="F3631" i="1"/>
  <c r="B3588" i="1"/>
  <c r="F3550" i="1"/>
  <c r="F3544" i="1"/>
  <c r="F3538" i="1"/>
  <c r="B3524" i="1"/>
  <c r="B3518" i="1"/>
  <c r="B3489" i="1"/>
  <c r="F3468" i="1"/>
  <c r="F3462" i="1"/>
  <c r="B3448" i="1"/>
  <c r="B3442" i="1"/>
  <c r="F3427" i="1"/>
  <c r="F3421" i="1"/>
  <c r="B3407" i="1"/>
  <c r="F3392" i="1"/>
  <c r="F3386" i="1"/>
  <c r="F3357" i="1"/>
  <c r="F3351" i="1"/>
  <c r="F3345" i="1"/>
  <c r="F3322" i="1"/>
  <c r="B3262" i="1"/>
  <c r="F3247" i="1"/>
  <c r="B3233" i="1"/>
  <c r="F3218" i="1"/>
  <c r="F3212" i="1"/>
  <c r="F3206" i="1"/>
  <c r="F3200" i="1"/>
  <c r="B3186" i="1"/>
  <c r="B3157" i="1"/>
  <c r="B3151" i="1"/>
  <c r="B3105" i="1"/>
  <c r="B2990" i="1"/>
  <c r="B2961" i="1"/>
  <c r="F2940" i="1"/>
  <c r="F2934" i="1"/>
  <c r="B2897" i="1"/>
  <c r="B2874" i="1"/>
  <c r="F2836" i="1"/>
  <c r="F2830" i="1"/>
  <c r="F2824" i="1"/>
  <c r="F2749" i="1"/>
  <c r="B2712" i="1"/>
  <c r="B2689" i="1"/>
  <c r="F2611" i="1"/>
  <c r="B2551" i="1"/>
  <c r="F2490" i="1"/>
  <c r="F2467" i="1"/>
  <c r="F2438" i="1"/>
  <c r="F2432" i="1"/>
  <c r="B3929" i="1"/>
  <c r="B3923" i="1"/>
  <c r="B3917" i="1"/>
  <c r="F3879" i="1"/>
  <c r="F3873" i="1"/>
  <c r="F3867" i="1"/>
  <c r="F3838" i="1"/>
  <c r="F3832" i="1"/>
  <c r="F3826" i="1"/>
  <c r="F3797" i="1"/>
  <c r="F3791" i="1"/>
  <c r="F3785" i="1"/>
  <c r="F3762" i="1"/>
  <c r="B3748" i="1"/>
  <c r="B3742" i="1"/>
  <c r="B3736" i="1"/>
  <c r="B3707" i="1"/>
  <c r="B3701" i="1"/>
  <c r="B3695" i="1"/>
  <c r="F3680" i="1"/>
  <c r="F3674" i="1"/>
  <c r="F3651" i="1"/>
  <c r="B3637" i="1"/>
  <c r="B3631" i="1"/>
  <c r="F3593" i="1"/>
  <c r="F3587" i="1"/>
  <c r="B3550" i="1"/>
  <c r="B3544" i="1"/>
  <c r="B3538" i="1"/>
  <c r="F3523" i="1"/>
  <c r="F3517" i="1"/>
  <c r="F3494" i="1"/>
  <c r="F3488" i="1"/>
  <c r="B3468" i="1"/>
  <c r="B3462" i="1"/>
  <c r="F3447" i="1"/>
  <c r="B3427" i="1"/>
  <c r="B3421" i="1"/>
  <c r="F3406" i="1"/>
  <c r="B3392" i="1"/>
  <c r="B3386" i="1"/>
  <c r="F3371" i="1"/>
  <c r="B3357" i="1"/>
  <c r="B3351" i="1"/>
  <c r="B3345" i="1"/>
  <c r="B3322" i="1"/>
  <c r="F3261" i="1"/>
  <c r="B3247" i="1"/>
  <c r="F3232" i="1"/>
  <c r="B3218" i="1"/>
  <c r="B3212" i="1"/>
  <c r="B3206" i="1"/>
  <c r="B3200" i="1"/>
  <c r="F3185" i="1"/>
  <c r="F3156" i="1"/>
  <c r="F3150" i="1"/>
  <c r="F3127" i="1"/>
  <c r="F3104" i="1"/>
  <c r="F3058" i="1"/>
  <c r="F3012" i="1"/>
  <c r="F2989" i="1"/>
  <c r="F2966" i="1"/>
  <c r="F2960" i="1"/>
  <c r="B2940" i="1"/>
  <c r="B2934" i="1"/>
  <c r="F2919" i="1"/>
  <c r="B2836" i="1"/>
  <c r="B2830" i="1"/>
  <c r="B2824" i="1"/>
  <c r="F2809" i="1"/>
  <c r="F2763" i="1"/>
  <c r="B2749" i="1"/>
  <c r="F2734" i="1"/>
  <c r="F2711" i="1"/>
  <c r="B2611" i="1"/>
  <c r="F2556" i="1"/>
  <c r="F2550" i="1"/>
  <c r="F2527" i="1"/>
  <c r="F2504" i="1"/>
  <c r="B2490" i="1"/>
  <c r="B2467" i="1"/>
  <c r="B2438" i="1"/>
  <c r="B2432" i="1"/>
  <c r="F2417" i="1"/>
  <c r="F2411" i="1"/>
  <c r="F2405" i="1"/>
  <c r="F2399" i="1"/>
  <c r="F2393" i="1"/>
  <c r="F2387" i="1"/>
  <c r="F2381" i="1"/>
  <c r="F2375" i="1"/>
  <c r="F2369" i="1"/>
  <c r="F2363" i="1"/>
  <c r="F2340" i="1"/>
  <c r="B2326" i="1"/>
  <c r="B2393" i="1"/>
  <c r="B2381" i="1"/>
  <c r="B2369" i="1"/>
  <c r="B2340" i="1"/>
  <c r="F2555" i="1"/>
  <c r="B2466" i="1"/>
  <c r="B2443" i="1"/>
  <c r="B2431" i="1"/>
  <c r="B2442" i="1"/>
  <c r="B2397" i="1"/>
  <c r="F2376" i="1"/>
  <c r="B2416" i="1"/>
  <c r="B2395" i="1"/>
  <c r="B2367" i="1"/>
  <c r="B2404" i="1"/>
  <c r="B2339" i="1"/>
  <c r="F2479" i="1"/>
  <c r="B2327" i="1"/>
  <c r="B2439" i="1"/>
  <c r="B2376" i="1"/>
  <c r="B2365" i="1"/>
  <c r="F2436" i="1"/>
  <c r="F2415" i="1"/>
  <c r="F2404" i="1"/>
  <c r="F2394" i="1"/>
  <c r="B2385" i="1"/>
  <c r="F2374" i="1"/>
  <c r="F2365" i="1"/>
  <c r="B2374" i="1"/>
  <c r="F2468" i="1"/>
  <c r="B2436" i="1"/>
  <c r="B2415" i="1"/>
  <c r="B2394" i="1"/>
  <c r="B2503" i="1"/>
  <c r="B2468" i="1"/>
  <c r="F2435" i="1"/>
  <c r="B2413" i="1"/>
  <c r="F2403" i="1"/>
  <c r="F2392" i="1"/>
  <c r="F2382" i="1"/>
  <c r="F2373" i="1"/>
  <c r="F2364" i="1"/>
  <c r="F2412" i="1"/>
  <c r="B2403" i="1"/>
  <c r="B2392" i="1"/>
  <c r="B2382" i="1"/>
  <c r="B2364" i="1"/>
  <c r="B2412" i="1"/>
  <c r="F2380" i="1"/>
  <c r="F2362" i="1"/>
  <c r="B2328" i="1"/>
  <c r="F2410" i="1"/>
  <c r="B2380" i="1"/>
  <c r="F2327" i="1"/>
  <c r="F2379" i="1"/>
  <c r="F2326" i="1"/>
  <c r="F2433" i="1"/>
  <c r="B2373" i="1"/>
  <c r="B2433" i="1"/>
  <c r="B2401" i="1"/>
  <c r="F2391" i="1"/>
  <c r="F2371" i="1"/>
  <c r="B2454" i="1"/>
  <c r="B2391" i="1"/>
  <c r="B2371" i="1"/>
  <c r="B2400" i="1"/>
  <c r="F2400" i="1"/>
  <c r="B2410" i="1"/>
  <c r="F2551" i="1"/>
  <c r="F2491" i="1"/>
  <c r="B2362" i="1"/>
  <c r="F2370" i="1"/>
  <c r="B2491" i="1"/>
  <c r="B2389" i="1"/>
  <c r="F2409" i="1"/>
  <c r="F2398" i="1"/>
  <c r="F2388" i="1"/>
  <c r="B2379" i="1"/>
  <c r="B2370" i="1"/>
  <c r="F2442" i="1"/>
  <c r="B2419" i="1"/>
  <c r="B2409" i="1"/>
  <c r="B2398" i="1"/>
  <c r="B2388" i="1"/>
  <c r="F2377" i="1"/>
  <c r="F2368" i="1"/>
  <c r="B2351" i="1"/>
  <c r="F2418" i="1"/>
  <c r="B2407" i="1"/>
  <c r="F2397" i="1"/>
  <c r="F2386" i="1"/>
  <c r="B2377" i="1"/>
  <c r="B2368" i="1"/>
  <c r="F2439" i="1"/>
  <c r="B2418" i="1"/>
  <c r="F2406" i="1"/>
  <c r="B2386" i="1"/>
  <c r="F2367" i="1"/>
  <c r="B2406" i="1"/>
  <c r="F2385" i="1"/>
  <c r="F2339" i="1"/>
  <c r="B2383" i="1"/>
  <c r="F2341" i="1" l="1"/>
  <c r="F2329" i="1"/>
  <c r="F2421" i="1"/>
  <c r="F2480" i="1"/>
  <c r="F2528" i="1"/>
  <c r="F2557" i="1"/>
  <c r="F2713" i="1"/>
  <c r="F2735" i="1"/>
  <c r="F2764" i="1"/>
  <c r="F2920" i="1"/>
  <c r="F2991" i="1"/>
  <c r="F3013" i="1"/>
  <c r="F3128" i="1"/>
  <c r="F3237" i="1"/>
  <c r="F3408" i="1"/>
  <c r="F3764" i="1"/>
  <c r="F3803" i="1"/>
  <c r="F2493" i="1"/>
  <c r="F2612" i="1"/>
  <c r="F3250" i="1"/>
  <c r="F3323" i="1"/>
  <c r="F2690" i="1"/>
  <c r="F2875" i="1"/>
  <c r="F2898" i="1"/>
  <c r="F3450" i="1"/>
  <c r="F3724" i="1"/>
  <c r="F3904" i="1"/>
  <c r="F2590" i="1"/>
  <c r="F2797" i="1"/>
  <c r="F3046" i="1"/>
  <c r="F3092" i="1"/>
  <c r="F3278" i="1"/>
  <c r="F3301" i="1"/>
  <c r="F3640" i="1"/>
  <c r="F3814" i="1"/>
  <c r="F2456" i="1"/>
  <c r="F2646" i="1"/>
  <c r="F2668" i="1"/>
  <c r="F2853" i="1"/>
  <c r="F2967" i="1"/>
  <c r="F3188" i="1"/>
  <c r="F3495" i="1"/>
  <c r="F3594" i="1"/>
  <c r="F3881" i="1"/>
  <c r="F2352" i="1"/>
  <c r="F2517" i="1"/>
  <c r="F2540" i="1"/>
  <c r="F2568" i="1"/>
  <c r="F2753" i="1"/>
  <c r="F2775" i="1"/>
  <c r="F2842" i="1"/>
  <c r="F2946" i="1"/>
  <c r="F2979" i="1"/>
  <c r="F3024" i="1"/>
  <c r="F3070" i="1"/>
  <c r="F3139" i="1"/>
  <c r="F3396" i="1"/>
  <c r="F3506" i="1"/>
  <c r="F3605" i="1"/>
  <c r="F3663" i="1"/>
  <c r="F2623" i="1"/>
  <c r="F3334" i="1"/>
  <c r="F3372" i="1"/>
  <c r="F3562" i="1"/>
  <c r="F2701" i="1"/>
  <c r="F2724" i="1"/>
  <c r="F2887" i="1"/>
  <c r="F2909" i="1"/>
  <c r="F3002" i="1"/>
  <c r="F3117" i="1"/>
  <c r="F3432" i="1"/>
  <c r="F3775" i="1"/>
  <c r="F3893" i="1"/>
  <c r="F3932" i="1"/>
  <c r="F2601" i="1"/>
  <c r="F2810" i="1"/>
  <c r="F3059" i="1"/>
  <c r="F3106" i="1"/>
  <c r="F3290" i="1"/>
  <c r="F3312" i="1"/>
  <c r="F3842" i="1"/>
  <c r="F2679" i="1"/>
  <c r="F2864" i="1"/>
  <c r="F3222" i="1"/>
  <c r="F3474" i="1"/>
  <c r="F3752" i="1"/>
  <c r="F2505" i="1"/>
  <c r="F2579" i="1"/>
  <c r="F2786" i="1"/>
  <c r="F3035" i="1"/>
  <c r="F3081" i="1"/>
  <c r="F3160" i="1"/>
  <c r="F3267" i="1"/>
  <c r="F3527" i="1"/>
  <c r="F3616" i="1"/>
  <c r="F3652" i="1"/>
  <c r="F3684" i="1"/>
  <c r="F3943" i="1"/>
  <c r="F2444" i="1"/>
  <c r="F2469" i="1"/>
  <c r="F2634" i="1"/>
  <c r="F2657" i="1"/>
  <c r="F3171" i="1"/>
  <c r="F3358" i="1"/>
  <c r="F3551" i="1"/>
  <c r="F3573" i="1"/>
  <c r="F3712" i="1"/>
  <c r="F3853" i="1"/>
  <c r="B9" i="1" l="1"/>
  <c r="B10" i="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2319" authorId="2">
      <text>
        <r>
          <rPr>
            <sz val="11"/>
            <color theme="1"/>
            <rFont val="Calibri"/>
            <family val="2"/>
            <scheme val="minor"/>
          </rPr>
          <t>Introducir un texto con el nombre o referencia de la contratación</t>
        </r>
      </text>
    </comment>
    <comment ref="B2319" authorId="2">
      <text>
        <r>
          <rPr>
            <sz val="11"/>
            <color theme="1"/>
            <rFont val="Calibri"/>
            <family val="2"/>
            <scheme val="minor"/>
          </rPr>
          <t>Introduzca un texto con la finalidad de la contratación</t>
        </r>
      </text>
    </comment>
    <comment ref="C2319" authorId="2">
      <text>
        <r>
          <rPr>
            <sz val="11"/>
            <color theme="1"/>
            <rFont val="Calibri"/>
            <family val="2"/>
            <scheme val="minor"/>
          </rPr>
          <t>Seleccionar un valor del listado</t>
        </r>
      </text>
    </comment>
    <comment ref="D2319" authorId="2">
      <text>
        <r>
          <rPr>
            <sz val="11"/>
            <color theme="1"/>
            <rFont val="Calibri"/>
            <family val="2"/>
            <scheme val="minor"/>
          </rPr>
          <t>Seleccione el tipo de procedimiento</t>
        </r>
      </text>
    </comment>
    <comment ref="E2319" authorId="2">
      <text>
        <r>
          <rPr>
            <sz val="11"/>
            <color theme="1"/>
            <rFont val="Calibri"/>
            <family val="2"/>
            <scheme val="minor"/>
          </rPr>
          <t>Seleccione un valor de la lista</t>
        </r>
      </text>
    </comment>
    <comment ref="F2319" authorId="2">
      <text>
        <r>
          <rPr>
            <sz val="11"/>
            <color theme="1"/>
            <rFont val="Calibri"/>
            <family val="2"/>
            <scheme val="minor"/>
          </rPr>
          <t>Introduzca el código SNIP</t>
        </r>
      </text>
    </comment>
    <comment ref="C2320" authorId="2">
      <text>
        <r>
          <rPr>
            <sz val="11"/>
            <color theme="1"/>
            <rFont val="Calibri"/>
            <family val="2"/>
            <scheme val="minor"/>
          </rPr>
          <t>Introduzca la fecha de inicio del proceso, en formato dd-mm-aaaa</t>
        </r>
      </text>
    </comment>
    <comment ref="F23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2">
      <text/>
    </comment>
    <comment ref="C2322" authorId="2">
      <text>
        <r>
          <rPr>
            <sz val="11"/>
            <color theme="1"/>
            <rFont val="Calibri"/>
            <family val="2"/>
            <scheme val="minor"/>
          </rPr>
          <t>Introduzca la fecha prevista de adjudicación, en formato dd-mm-aaaa</t>
        </r>
      </text>
    </comment>
    <comment ref="F2322" authorId="2">
      <text/>
    </comment>
    <comment ref="F2323" authorId="2">
      <text/>
    </comment>
    <comment ref="A2325" authorId="2">
      <text>
        <r>
          <rPr>
            <sz val="11"/>
            <color theme="1"/>
            <rFont val="Calibri"/>
            <family val="2"/>
            <scheme val="minor"/>
          </rPr>
          <t>Introduzca un codigo UNSPSC</t>
        </r>
      </text>
    </comment>
    <comment ref="B2325" authorId="2">
      <text>
        <r>
          <rPr>
            <sz val="11"/>
            <color theme="1"/>
            <rFont val="Calibri"/>
            <family val="2"/>
            <scheme val="minor"/>
          </rPr>
          <t>Descripción calculada automáticamente a partir de código del artículo</t>
        </r>
      </text>
    </comment>
    <comment ref="C2325" authorId="2">
      <text>
        <r>
          <rPr>
            <sz val="11"/>
            <color theme="1"/>
            <rFont val="Calibri"/>
            <family val="2"/>
            <scheme val="minor"/>
          </rPr>
          <t>Seleccione un valor de la lista</t>
        </r>
      </text>
    </comment>
    <comment ref="D2325" authorId="2">
      <text>
        <r>
          <rPr>
            <sz val="11"/>
            <color theme="1"/>
            <rFont val="Calibri"/>
            <family val="2"/>
            <scheme val="minor"/>
          </rPr>
          <t>Introduzca un número con dos decimales como máximo. Debe ser igual o mayor a la "Cantidad Real Consumida"</t>
        </r>
      </text>
    </comment>
    <comment ref="E2325" authorId="2">
      <text>
        <r>
          <rPr>
            <sz val="11"/>
            <color theme="1"/>
            <rFont val="Calibri"/>
            <family val="2"/>
            <scheme val="minor"/>
          </rPr>
          <t>Introduzca un número con dos decimales como máximo</t>
        </r>
      </text>
    </comment>
    <comment ref="F2325" authorId="2">
      <text>
        <r>
          <rPr>
            <sz val="11"/>
            <color theme="1"/>
            <rFont val="Calibri"/>
            <family val="2"/>
            <scheme val="minor"/>
          </rPr>
          <t>Monto calculado automáticamente por el sistema</t>
        </r>
      </text>
    </comment>
    <comment ref="A2332" authorId="2">
      <text>
        <r>
          <rPr>
            <sz val="11"/>
            <color theme="1"/>
            <rFont val="Calibri"/>
            <family val="2"/>
            <scheme val="minor"/>
          </rPr>
          <t>Introducir un texto con el nombre o referencia de la contratación</t>
        </r>
      </text>
    </comment>
    <comment ref="B2332" authorId="2">
      <text>
        <r>
          <rPr>
            <sz val="11"/>
            <color theme="1"/>
            <rFont val="Calibri"/>
            <family val="2"/>
            <scheme val="minor"/>
          </rPr>
          <t>Introduzca un texto con la finalidad de la contratación</t>
        </r>
      </text>
    </comment>
    <comment ref="C2332" authorId="2">
      <text>
        <r>
          <rPr>
            <sz val="11"/>
            <color theme="1"/>
            <rFont val="Calibri"/>
            <family val="2"/>
            <scheme val="minor"/>
          </rPr>
          <t>Seleccionar un valor del listado</t>
        </r>
      </text>
    </comment>
    <comment ref="D2332" authorId="2">
      <text>
        <r>
          <rPr>
            <sz val="11"/>
            <color theme="1"/>
            <rFont val="Calibri"/>
            <family val="2"/>
            <scheme val="minor"/>
          </rPr>
          <t>Seleccione el tipo de procedimiento</t>
        </r>
      </text>
    </comment>
    <comment ref="E2332" authorId="2">
      <text>
        <r>
          <rPr>
            <sz val="11"/>
            <color theme="1"/>
            <rFont val="Calibri"/>
            <family val="2"/>
            <scheme val="minor"/>
          </rPr>
          <t>Seleccione un valor de la lista</t>
        </r>
      </text>
    </comment>
    <comment ref="F2332" authorId="2">
      <text>
        <r>
          <rPr>
            <sz val="11"/>
            <color theme="1"/>
            <rFont val="Calibri"/>
            <family val="2"/>
            <scheme val="minor"/>
          </rPr>
          <t>Introduzca el código SNIP</t>
        </r>
      </text>
    </comment>
    <comment ref="C2333" authorId="2">
      <text>
        <r>
          <rPr>
            <sz val="11"/>
            <color theme="1"/>
            <rFont val="Calibri"/>
            <family val="2"/>
            <scheme val="minor"/>
          </rPr>
          <t>Introduzca la fecha de inicio del proceso, en formato dd-mm-aaaa</t>
        </r>
      </text>
    </comment>
    <comment ref="F23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4" authorId="2">
      <text/>
    </comment>
    <comment ref="C2335" authorId="2">
      <text>
        <r>
          <rPr>
            <sz val="11"/>
            <color theme="1"/>
            <rFont val="Calibri"/>
            <family val="2"/>
            <scheme val="minor"/>
          </rPr>
          <t>Introduzca la fecha prevista de adjudicación, en formato dd-mm-aaaa</t>
        </r>
      </text>
    </comment>
    <comment ref="F2335" authorId="2">
      <text/>
    </comment>
    <comment ref="F2336" authorId="2">
      <text/>
    </comment>
    <comment ref="A2338" authorId="2">
      <text>
        <r>
          <rPr>
            <sz val="11"/>
            <color theme="1"/>
            <rFont val="Calibri"/>
            <family val="2"/>
            <scheme val="minor"/>
          </rPr>
          <t>Introduzca un codigo UNSPSC</t>
        </r>
      </text>
    </comment>
    <comment ref="B2338" authorId="2">
      <text>
        <r>
          <rPr>
            <sz val="11"/>
            <color theme="1"/>
            <rFont val="Calibri"/>
            <family val="2"/>
            <scheme val="minor"/>
          </rPr>
          <t>Descripción calculada automáticamente a partir de código del artículo</t>
        </r>
      </text>
    </comment>
    <comment ref="C2338" authorId="2">
      <text>
        <r>
          <rPr>
            <sz val="11"/>
            <color theme="1"/>
            <rFont val="Calibri"/>
            <family val="2"/>
            <scheme val="minor"/>
          </rPr>
          <t>Seleccione un valor de la lista</t>
        </r>
      </text>
    </comment>
    <comment ref="D2338" authorId="2">
      <text>
        <r>
          <rPr>
            <sz val="11"/>
            <color theme="1"/>
            <rFont val="Calibri"/>
            <family val="2"/>
            <scheme val="minor"/>
          </rPr>
          <t>Introduzca un número con dos decimales como máximo. Debe ser igual o mayor a la "Cantidad Real Consumida"</t>
        </r>
      </text>
    </comment>
    <comment ref="E2338" authorId="2">
      <text>
        <r>
          <rPr>
            <sz val="11"/>
            <color theme="1"/>
            <rFont val="Calibri"/>
            <family val="2"/>
            <scheme val="minor"/>
          </rPr>
          <t>Introduzca un número con dos decimales como máximo</t>
        </r>
      </text>
    </comment>
    <comment ref="F2338" authorId="2">
      <text>
        <r>
          <rPr>
            <sz val="11"/>
            <color theme="1"/>
            <rFont val="Calibri"/>
            <family val="2"/>
            <scheme val="minor"/>
          </rPr>
          <t>Monto calculado automáticamente por el sistema</t>
        </r>
      </text>
    </comment>
    <comment ref="A2344" authorId="2">
      <text>
        <r>
          <rPr>
            <sz val="11"/>
            <color theme="1"/>
            <rFont val="Calibri"/>
            <family val="2"/>
            <scheme val="minor"/>
          </rPr>
          <t>Introducir un texto con el nombre o referencia de la contratación</t>
        </r>
      </text>
    </comment>
    <comment ref="B2344" authorId="2">
      <text>
        <r>
          <rPr>
            <sz val="11"/>
            <color theme="1"/>
            <rFont val="Calibri"/>
            <family val="2"/>
            <scheme val="minor"/>
          </rPr>
          <t>Introduzca un texto con la finalidad de la contratación</t>
        </r>
      </text>
    </comment>
    <comment ref="C2344" authorId="2">
      <text>
        <r>
          <rPr>
            <sz val="11"/>
            <color theme="1"/>
            <rFont val="Calibri"/>
            <family val="2"/>
            <scheme val="minor"/>
          </rPr>
          <t>Seleccionar un valor del listado</t>
        </r>
      </text>
    </comment>
    <comment ref="D2344" authorId="2">
      <text>
        <r>
          <rPr>
            <sz val="11"/>
            <color theme="1"/>
            <rFont val="Calibri"/>
            <family val="2"/>
            <scheme val="minor"/>
          </rPr>
          <t>Seleccione el tipo de procedimiento</t>
        </r>
      </text>
    </comment>
    <comment ref="E2344" authorId="2">
      <text>
        <r>
          <rPr>
            <sz val="11"/>
            <color theme="1"/>
            <rFont val="Calibri"/>
            <family val="2"/>
            <scheme val="minor"/>
          </rPr>
          <t>Seleccione un valor de la lista</t>
        </r>
      </text>
    </comment>
    <comment ref="F2344" authorId="2">
      <text>
        <r>
          <rPr>
            <sz val="11"/>
            <color theme="1"/>
            <rFont val="Calibri"/>
            <family val="2"/>
            <scheme val="minor"/>
          </rPr>
          <t>Introduzca el código SNIP</t>
        </r>
      </text>
    </comment>
    <comment ref="C2345" authorId="2">
      <text>
        <r>
          <rPr>
            <sz val="11"/>
            <color theme="1"/>
            <rFont val="Calibri"/>
            <family val="2"/>
            <scheme val="minor"/>
          </rPr>
          <t>Introduzca la fecha de inicio del proceso, en formato dd-mm-aaaa</t>
        </r>
      </text>
    </comment>
    <comment ref="F23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6" authorId="2">
      <text/>
    </comment>
    <comment ref="C2347" authorId="2">
      <text>
        <r>
          <rPr>
            <sz val="11"/>
            <color theme="1"/>
            <rFont val="Calibri"/>
            <family val="2"/>
            <scheme val="minor"/>
          </rPr>
          <t>Introduzca la fecha prevista de adjudicación, en formato dd-mm-aaaa</t>
        </r>
      </text>
    </comment>
    <comment ref="F2347" authorId="2">
      <text/>
    </comment>
    <comment ref="F2348" authorId="2">
      <text/>
    </comment>
    <comment ref="A2350" authorId="2">
      <text>
        <r>
          <rPr>
            <sz val="11"/>
            <color theme="1"/>
            <rFont val="Calibri"/>
            <family val="2"/>
            <scheme val="minor"/>
          </rPr>
          <t>Introduzca un codigo UNSPSC</t>
        </r>
      </text>
    </comment>
    <comment ref="B2350" authorId="2">
      <text>
        <r>
          <rPr>
            <sz val="11"/>
            <color theme="1"/>
            <rFont val="Calibri"/>
            <family val="2"/>
            <scheme val="minor"/>
          </rPr>
          <t>Descripción calculada automáticamente a partir de código del artículo</t>
        </r>
      </text>
    </comment>
    <comment ref="C2350" authorId="2">
      <text>
        <r>
          <rPr>
            <sz val="11"/>
            <color theme="1"/>
            <rFont val="Calibri"/>
            <family val="2"/>
            <scheme val="minor"/>
          </rPr>
          <t>Seleccione un valor de la lista</t>
        </r>
      </text>
    </comment>
    <comment ref="D2350" authorId="2">
      <text>
        <r>
          <rPr>
            <sz val="11"/>
            <color theme="1"/>
            <rFont val="Calibri"/>
            <family val="2"/>
            <scheme val="minor"/>
          </rPr>
          <t>Introduzca un número con dos decimales como máximo. Debe ser igual o mayor a la "Cantidad Real Consumida"</t>
        </r>
      </text>
    </comment>
    <comment ref="E2350" authorId="2">
      <text>
        <r>
          <rPr>
            <sz val="11"/>
            <color theme="1"/>
            <rFont val="Calibri"/>
            <family val="2"/>
            <scheme val="minor"/>
          </rPr>
          <t>Introduzca un número con dos decimales como máximo</t>
        </r>
      </text>
    </comment>
    <comment ref="F2350" authorId="2">
      <text>
        <r>
          <rPr>
            <sz val="11"/>
            <color theme="1"/>
            <rFont val="Calibri"/>
            <family val="2"/>
            <scheme val="minor"/>
          </rPr>
          <t>Monto calculado automáticamente por el sistema</t>
        </r>
      </text>
    </comment>
    <comment ref="A2355" authorId="2">
      <text>
        <r>
          <rPr>
            <sz val="11"/>
            <color theme="1"/>
            <rFont val="Calibri"/>
            <family val="2"/>
            <scheme val="minor"/>
          </rPr>
          <t>Introducir un texto con el nombre o referencia de la contratación</t>
        </r>
      </text>
    </comment>
    <comment ref="B2355" authorId="2">
      <text>
        <r>
          <rPr>
            <sz val="11"/>
            <color theme="1"/>
            <rFont val="Calibri"/>
            <family val="2"/>
            <scheme val="minor"/>
          </rPr>
          <t>Introduzca un texto con la finalidad de la contratación</t>
        </r>
      </text>
    </comment>
    <comment ref="C2355" authorId="2">
      <text>
        <r>
          <rPr>
            <sz val="11"/>
            <color theme="1"/>
            <rFont val="Calibri"/>
            <family val="2"/>
            <scheme val="minor"/>
          </rPr>
          <t>Seleccionar un valor del listado</t>
        </r>
      </text>
    </comment>
    <comment ref="D2355" authorId="2">
      <text>
        <r>
          <rPr>
            <sz val="11"/>
            <color theme="1"/>
            <rFont val="Calibri"/>
            <family val="2"/>
            <scheme val="minor"/>
          </rPr>
          <t>Seleccione el tipo de procedimiento</t>
        </r>
      </text>
    </comment>
    <comment ref="E2355" authorId="2">
      <text>
        <r>
          <rPr>
            <sz val="11"/>
            <color theme="1"/>
            <rFont val="Calibri"/>
            <family val="2"/>
            <scheme val="minor"/>
          </rPr>
          <t>Seleccione un valor de la lista</t>
        </r>
      </text>
    </comment>
    <comment ref="F2355" authorId="2">
      <text>
        <r>
          <rPr>
            <sz val="11"/>
            <color theme="1"/>
            <rFont val="Calibri"/>
            <family val="2"/>
            <scheme val="minor"/>
          </rPr>
          <t>Introduzca el código SNIP</t>
        </r>
      </text>
    </comment>
    <comment ref="C2356" authorId="2">
      <text>
        <r>
          <rPr>
            <sz val="11"/>
            <color theme="1"/>
            <rFont val="Calibri"/>
            <family val="2"/>
            <scheme val="minor"/>
          </rPr>
          <t>Introduzca la fecha de inicio del proceso, en formato dd-mm-aaaa</t>
        </r>
      </text>
    </comment>
    <comment ref="F23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7" authorId="2">
      <text/>
    </comment>
    <comment ref="C2358" authorId="2">
      <text>
        <r>
          <rPr>
            <sz val="11"/>
            <color theme="1"/>
            <rFont val="Calibri"/>
            <family val="2"/>
            <scheme val="minor"/>
          </rPr>
          <t>Introduzca la fecha prevista de adjudicación, en formato dd-mm-aaaa</t>
        </r>
      </text>
    </comment>
    <comment ref="F2358" authorId="2">
      <text/>
    </comment>
    <comment ref="F2359" authorId="2">
      <text/>
    </comment>
    <comment ref="A2361" authorId="2">
      <text>
        <r>
          <rPr>
            <sz val="11"/>
            <color theme="1"/>
            <rFont val="Calibri"/>
            <family val="2"/>
            <scheme val="minor"/>
          </rPr>
          <t>Introduzca un codigo UNSPSC</t>
        </r>
      </text>
    </comment>
    <comment ref="B2361" authorId="2">
      <text>
        <r>
          <rPr>
            <sz val="11"/>
            <color theme="1"/>
            <rFont val="Calibri"/>
            <family val="2"/>
            <scheme val="minor"/>
          </rPr>
          <t>Descripción calculada automáticamente a partir de código del artículo</t>
        </r>
      </text>
    </comment>
    <comment ref="C2361" authorId="2">
      <text>
        <r>
          <rPr>
            <sz val="11"/>
            <color theme="1"/>
            <rFont val="Calibri"/>
            <family val="2"/>
            <scheme val="minor"/>
          </rPr>
          <t>Seleccione un valor de la lista</t>
        </r>
      </text>
    </comment>
    <comment ref="D2361" authorId="2">
      <text>
        <r>
          <rPr>
            <sz val="11"/>
            <color theme="1"/>
            <rFont val="Calibri"/>
            <family val="2"/>
            <scheme val="minor"/>
          </rPr>
          <t>Introduzca un número con dos decimales como máximo. Debe ser igual o mayor a la "Cantidad Real Consumida"</t>
        </r>
      </text>
    </comment>
    <comment ref="E2361" authorId="2">
      <text>
        <r>
          <rPr>
            <sz val="11"/>
            <color theme="1"/>
            <rFont val="Calibri"/>
            <family val="2"/>
            <scheme val="minor"/>
          </rPr>
          <t>Introduzca un número con dos decimales como máximo</t>
        </r>
      </text>
    </comment>
    <comment ref="F2361" authorId="2">
      <text>
        <r>
          <rPr>
            <sz val="11"/>
            <color theme="1"/>
            <rFont val="Calibri"/>
            <family val="2"/>
            <scheme val="minor"/>
          </rPr>
          <t>Monto calculado automáticamente por el sistema</t>
        </r>
      </text>
    </comment>
    <comment ref="A2424" authorId="2">
      <text>
        <r>
          <rPr>
            <sz val="11"/>
            <color theme="1"/>
            <rFont val="Calibri"/>
            <family val="2"/>
            <scheme val="minor"/>
          </rPr>
          <t>Introducir un texto con el nombre o referencia de la contratación</t>
        </r>
      </text>
    </comment>
    <comment ref="B2424" authorId="2">
      <text>
        <r>
          <rPr>
            <sz val="11"/>
            <color theme="1"/>
            <rFont val="Calibri"/>
            <family val="2"/>
            <scheme val="minor"/>
          </rPr>
          <t>Introduzca un texto con la finalidad de la contratación</t>
        </r>
      </text>
    </comment>
    <comment ref="C2424" authorId="2">
      <text>
        <r>
          <rPr>
            <sz val="11"/>
            <color theme="1"/>
            <rFont val="Calibri"/>
            <family val="2"/>
            <scheme val="minor"/>
          </rPr>
          <t>Seleccionar un valor del listado</t>
        </r>
      </text>
    </comment>
    <comment ref="D2424" authorId="2">
      <text>
        <r>
          <rPr>
            <sz val="11"/>
            <color theme="1"/>
            <rFont val="Calibri"/>
            <family val="2"/>
            <scheme val="minor"/>
          </rPr>
          <t>Seleccione el tipo de procedimiento</t>
        </r>
      </text>
    </comment>
    <comment ref="E2424" authorId="2">
      <text>
        <r>
          <rPr>
            <sz val="11"/>
            <color theme="1"/>
            <rFont val="Calibri"/>
            <family val="2"/>
            <scheme val="minor"/>
          </rPr>
          <t>Seleccione un valor de la lista</t>
        </r>
      </text>
    </comment>
    <comment ref="F2424" authorId="2">
      <text>
        <r>
          <rPr>
            <sz val="11"/>
            <color theme="1"/>
            <rFont val="Calibri"/>
            <family val="2"/>
            <scheme val="minor"/>
          </rPr>
          <t>Introduzca el código SNIP</t>
        </r>
      </text>
    </comment>
    <comment ref="C2425" authorId="2">
      <text>
        <r>
          <rPr>
            <sz val="11"/>
            <color theme="1"/>
            <rFont val="Calibri"/>
            <family val="2"/>
            <scheme val="minor"/>
          </rPr>
          <t>Introduzca la fecha de inicio del proceso, en formato dd-mm-aaaa</t>
        </r>
      </text>
    </comment>
    <comment ref="F24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6" authorId="2">
      <text/>
    </comment>
    <comment ref="C2427" authorId="2">
      <text>
        <r>
          <rPr>
            <sz val="11"/>
            <color theme="1"/>
            <rFont val="Calibri"/>
            <family val="2"/>
            <scheme val="minor"/>
          </rPr>
          <t>Introduzca la fecha prevista de adjudicación, en formato dd-mm-aaaa</t>
        </r>
      </text>
    </comment>
    <comment ref="F2427" authorId="2">
      <text/>
    </comment>
    <comment ref="F2428" authorId="2">
      <text/>
    </comment>
    <comment ref="A2430" authorId="2">
      <text>
        <r>
          <rPr>
            <sz val="11"/>
            <color theme="1"/>
            <rFont val="Calibri"/>
            <family val="2"/>
            <scheme val="minor"/>
          </rPr>
          <t>Introduzca un codigo UNSPSC</t>
        </r>
      </text>
    </comment>
    <comment ref="B2430" authorId="2">
      <text>
        <r>
          <rPr>
            <sz val="11"/>
            <color theme="1"/>
            <rFont val="Calibri"/>
            <family val="2"/>
            <scheme val="minor"/>
          </rPr>
          <t>Descripción calculada automáticamente a partir de código del artículo</t>
        </r>
      </text>
    </comment>
    <comment ref="C2430" authorId="2">
      <text>
        <r>
          <rPr>
            <sz val="11"/>
            <color theme="1"/>
            <rFont val="Calibri"/>
            <family val="2"/>
            <scheme val="minor"/>
          </rPr>
          <t>Seleccione un valor de la lista</t>
        </r>
      </text>
    </comment>
    <comment ref="D2430" authorId="2">
      <text>
        <r>
          <rPr>
            <sz val="11"/>
            <color theme="1"/>
            <rFont val="Calibri"/>
            <family val="2"/>
            <scheme val="minor"/>
          </rPr>
          <t>Introduzca un número con dos decimales como máximo. Debe ser igual o mayor a la "Cantidad Real Consumida"</t>
        </r>
      </text>
    </comment>
    <comment ref="E2430" authorId="2">
      <text>
        <r>
          <rPr>
            <sz val="11"/>
            <color theme="1"/>
            <rFont val="Calibri"/>
            <family val="2"/>
            <scheme val="minor"/>
          </rPr>
          <t>Introduzca un número con dos decimales como máximo</t>
        </r>
      </text>
    </comment>
    <comment ref="F2430" authorId="2">
      <text>
        <r>
          <rPr>
            <sz val="11"/>
            <color theme="1"/>
            <rFont val="Calibri"/>
            <family val="2"/>
            <scheme val="minor"/>
          </rPr>
          <t>Monto calculado automáticamente por el sistema</t>
        </r>
      </text>
    </comment>
    <comment ref="A2447" authorId="2">
      <text>
        <r>
          <rPr>
            <sz val="11"/>
            <color theme="1"/>
            <rFont val="Calibri"/>
            <family val="2"/>
            <scheme val="minor"/>
          </rPr>
          <t>Introducir un texto con el nombre o referencia de la contratación</t>
        </r>
      </text>
    </comment>
    <comment ref="B2447" authorId="2">
      <text>
        <r>
          <rPr>
            <sz val="11"/>
            <color theme="1"/>
            <rFont val="Calibri"/>
            <family val="2"/>
            <scheme val="minor"/>
          </rPr>
          <t>Introduzca un texto con la finalidad de la contratación</t>
        </r>
      </text>
    </comment>
    <comment ref="C2447" authorId="2">
      <text>
        <r>
          <rPr>
            <sz val="11"/>
            <color theme="1"/>
            <rFont val="Calibri"/>
            <family val="2"/>
            <scheme val="minor"/>
          </rPr>
          <t>Seleccionar un valor del listado</t>
        </r>
      </text>
    </comment>
    <comment ref="D2447" authorId="2">
      <text>
        <r>
          <rPr>
            <sz val="11"/>
            <color theme="1"/>
            <rFont val="Calibri"/>
            <family val="2"/>
            <scheme val="minor"/>
          </rPr>
          <t>Seleccione el tipo de procedimiento</t>
        </r>
      </text>
    </comment>
    <comment ref="E2447" authorId="2">
      <text>
        <r>
          <rPr>
            <sz val="11"/>
            <color theme="1"/>
            <rFont val="Calibri"/>
            <family val="2"/>
            <scheme val="minor"/>
          </rPr>
          <t>Seleccione un valor de la lista</t>
        </r>
      </text>
    </comment>
    <comment ref="F2447" authorId="2">
      <text>
        <r>
          <rPr>
            <sz val="11"/>
            <color theme="1"/>
            <rFont val="Calibri"/>
            <family val="2"/>
            <scheme val="minor"/>
          </rPr>
          <t>Introduzca el código SNIP</t>
        </r>
      </text>
    </comment>
    <comment ref="C2448" authorId="2">
      <text>
        <r>
          <rPr>
            <sz val="11"/>
            <color theme="1"/>
            <rFont val="Calibri"/>
            <family val="2"/>
            <scheme val="minor"/>
          </rPr>
          <t>Introduzca la fecha de inicio del proceso, en formato dd-mm-aaaa</t>
        </r>
      </text>
    </comment>
    <comment ref="F24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9" authorId="2">
      <text/>
    </comment>
    <comment ref="C2450" authorId="2">
      <text>
        <r>
          <rPr>
            <sz val="11"/>
            <color theme="1"/>
            <rFont val="Calibri"/>
            <family val="2"/>
            <scheme val="minor"/>
          </rPr>
          <t>Introduzca la fecha prevista de adjudicación, en formato dd-mm-aaaa</t>
        </r>
      </text>
    </comment>
    <comment ref="F2450" authorId="2">
      <text/>
    </comment>
    <comment ref="F2451" authorId="2">
      <text/>
    </comment>
    <comment ref="A2453" authorId="2">
      <text>
        <r>
          <rPr>
            <sz val="11"/>
            <color theme="1"/>
            <rFont val="Calibri"/>
            <family val="2"/>
            <scheme val="minor"/>
          </rPr>
          <t>Introduzca un codigo UNSPSC</t>
        </r>
      </text>
    </comment>
    <comment ref="B2453" authorId="2">
      <text>
        <r>
          <rPr>
            <sz val="11"/>
            <color theme="1"/>
            <rFont val="Calibri"/>
            <family val="2"/>
            <scheme val="minor"/>
          </rPr>
          <t>Descripción calculada automáticamente a partir de código del artículo</t>
        </r>
      </text>
    </comment>
    <comment ref="C2453" authorId="2">
      <text>
        <r>
          <rPr>
            <sz val="11"/>
            <color theme="1"/>
            <rFont val="Calibri"/>
            <family val="2"/>
            <scheme val="minor"/>
          </rPr>
          <t>Seleccione un valor de la lista</t>
        </r>
      </text>
    </comment>
    <comment ref="D2453" authorId="2">
      <text>
        <r>
          <rPr>
            <sz val="11"/>
            <color theme="1"/>
            <rFont val="Calibri"/>
            <family val="2"/>
            <scheme val="minor"/>
          </rPr>
          <t>Introduzca un número con dos decimales como máximo. Debe ser igual o mayor a la "Cantidad Real Consumida"</t>
        </r>
      </text>
    </comment>
    <comment ref="E2453" authorId="2">
      <text>
        <r>
          <rPr>
            <sz val="11"/>
            <color theme="1"/>
            <rFont val="Calibri"/>
            <family val="2"/>
            <scheme val="minor"/>
          </rPr>
          <t>Introduzca un número con dos decimales como máximo</t>
        </r>
      </text>
    </comment>
    <comment ref="F2453" authorId="2">
      <text>
        <r>
          <rPr>
            <sz val="11"/>
            <color theme="1"/>
            <rFont val="Calibri"/>
            <family val="2"/>
            <scheme val="minor"/>
          </rPr>
          <t>Monto calculado automáticamente por el sistema</t>
        </r>
      </text>
    </comment>
    <comment ref="A2459" authorId="2">
      <text>
        <r>
          <rPr>
            <sz val="11"/>
            <color theme="1"/>
            <rFont val="Calibri"/>
            <family val="2"/>
            <scheme val="minor"/>
          </rPr>
          <t>Introducir un texto con el nombre o referencia de la contratación</t>
        </r>
      </text>
    </comment>
    <comment ref="B2459" authorId="2">
      <text>
        <r>
          <rPr>
            <sz val="11"/>
            <color theme="1"/>
            <rFont val="Calibri"/>
            <family val="2"/>
            <scheme val="minor"/>
          </rPr>
          <t>Introduzca un texto con la finalidad de la contratación</t>
        </r>
      </text>
    </comment>
    <comment ref="C2459" authorId="2">
      <text>
        <r>
          <rPr>
            <sz val="11"/>
            <color theme="1"/>
            <rFont val="Calibri"/>
            <family val="2"/>
            <scheme val="minor"/>
          </rPr>
          <t>Seleccionar un valor del listado</t>
        </r>
      </text>
    </comment>
    <comment ref="D2459" authorId="2">
      <text>
        <r>
          <rPr>
            <sz val="11"/>
            <color theme="1"/>
            <rFont val="Calibri"/>
            <family val="2"/>
            <scheme val="minor"/>
          </rPr>
          <t>Seleccione el tipo de procedimiento</t>
        </r>
      </text>
    </comment>
    <comment ref="E2459" authorId="2">
      <text>
        <r>
          <rPr>
            <sz val="11"/>
            <color theme="1"/>
            <rFont val="Calibri"/>
            <family val="2"/>
            <scheme val="minor"/>
          </rPr>
          <t>Seleccione un valor de la lista</t>
        </r>
      </text>
    </comment>
    <comment ref="F2459" authorId="2">
      <text>
        <r>
          <rPr>
            <sz val="11"/>
            <color theme="1"/>
            <rFont val="Calibri"/>
            <family val="2"/>
            <scheme val="minor"/>
          </rPr>
          <t>Introduzca el código SNIP</t>
        </r>
      </text>
    </comment>
    <comment ref="C2460" authorId="2">
      <text>
        <r>
          <rPr>
            <sz val="11"/>
            <color theme="1"/>
            <rFont val="Calibri"/>
            <family val="2"/>
            <scheme val="minor"/>
          </rPr>
          <t>Introduzca la fecha de inicio del proceso, en formato dd-mm-aaaa</t>
        </r>
      </text>
    </comment>
    <comment ref="F24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1" authorId="2">
      <text/>
    </comment>
    <comment ref="C2462" authorId="2">
      <text>
        <r>
          <rPr>
            <sz val="11"/>
            <color theme="1"/>
            <rFont val="Calibri"/>
            <family val="2"/>
            <scheme val="minor"/>
          </rPr>
          <t>Introduzca la fecha prevista de adjudicación, en formato dd-mm-aaaa</t>
        </r>
      </text>
    </comment>
    <comment ref="F2462" authorId="2">
      <text/>
    </comment>
    <comment ref="F2463" authorId="2">
      <text/>
    </comment>
    <comment ref="A2465" authorId="2">
      <text>
        <r>
          <rPr>
            <sz val="11"/>
            <color theme="1"/>
            <rFont val="Calibri"/>
            <family val="2"/>
            <scheme val="minor"/>
          </rPr>
          <t>Introduzca un codigo UNSPSC</t>
        </r>
      </text>
    </comment>
    <comment ref="B2465" authorId="2">
      <text>
        <r>
          <rPr>
            <sz val="11"/>
            <color theme="1"/>
            <rFont val="Calibri"/>
            <family val="2"/>
            <scheme val="minor"/>
          </rPr>
          <t>Descripción calculada automáticamente a partir de código del artículo</t>
        </r>
      </text>
    </comment>
    <comment ref="C2465" authorId="2">
      <text>
        <r>
          <rPr>
            <sz val="11"/>
            <color theme="1"/>
            <rFont val="Calibri"/>
            <family val="2"/>
            <scheme val="minor"/>
          </rPr>
          <t>Seleccione un valor de la lista</t>
        </r>
      </text>
    </comment>
    <comment ref="D2465" authorId="2">
      <text>
        <r>
          <rPr>
            <sz val="11"/>
            <color theme="1"/>
            <rFont val="Calibri"/>
            <family val="2"/>
            <scheme val="minor"/>
          </rPr>
          <t>Introduzca un número con dos decimales como máximo. Debe ser igual o mayor a la "Cantidad Real Consumida"</t>
        </r>
      </text>
    </comment>
    <comment ref="E2465" authorId="2">
      <text>
        <r>
          <rPr>
            <sz val="11"/>
            <color theme="1"/>
            <rFont val="Calibri"/>
            <family val="2"/>
            <scheme val="minor"/>
          </rPr>
          <t>Introduzca un número con dos decimales como máximo</t>
        </r>
      </text>
    </comment>
    <comment ref="F2465" authorId="2">
      <text>
        <r>
          <rPr>
            <sz val="11"/>
            <color theme="1"/>
            <rFont val="Calibri"/>
            <family val="2"/>
            <scheme val="minor"/>
          </rPr>
          <t>Monto calculado automáticamente por el sistema</t>
        </r>
      </text>
    </comment>
    <comment ref="A2472" authorId="2">
      <text>
        <r>
          <rPr>
            <sz val="11"/>
            <color theme="1"/>
            <rFont val="Calibri"/>
            <family val="2"/>
            <scheme val="minor"/>
          </rPr>
          <t>Introducir un texto con el nombre o referencia de la contratación</t>
        </r>
      </text>
    </comment>
    <comment ref="B2472" authorId="2">
      <text>
        <r>
          <rPr>
            <sz val="11"/>
            <color theme="1"/>
            <rFont val="Calibri"/>
            <family val="2"/>
            <scheme val="minor"/>
          </rPr>
          <t>Introduzca un texto con la finalidad de la contratación</t>
        </r>
      </text>
    </comment>
    <comment ref="C2472" authorId="2">
      <text>
        <r>
          <rPr>
            <sz val="11"/>
            <color theme="1"/>
            <rFont val="Calibri"/>
            <family val="2"/>
            <scheme val="minor"/>
          </rPr>
          <t>Seleccionar un valor del listado</t>
        </r>
      </text>
    </comment>
    <comment ref="D2472" authorId="2">
      <text>
        <r>
          <rPr>
            <sz val="11"/>
            <color theme="1"/>
            <rFont val="Calibri"/>
            <family val="2"/>
            <scheme val="minor"/>
          </rPr>
          <t>Seleccione el tipo de procedimiento</t>
        </r>
      </text>
    </comment>
    <comment ref="E2472" authorId="2">
      <text>
        <r>
          <rPr>
            <sz val="11"/>
            <color theme="1"/>
            <rFont val="Calibri"/>
            <family val="2"/>
            <scheme val="minor"/>
          </rPr>
          <t>Seleccione un valor de la lista</t>
        </r>
      </text>
    </comment>
    <comment ref="F2472" authorId="2">
      <text>
        <r>
          <rPr>
            <sz val="11"/>
            <color theme="1"/>
            <rFont val="Calibri"/>
            <family val="2"/>
            <scheme val="minor"/>
          </rPr>
          <t>Introduzca el código SNIP</t>
        </r>
      </text>
    </comment>
    <comment ref="C2473" authorId="2">
      <text>
        <r>
          <rPr>
            <sz val="11"/>
            <color theme="1"/>
            <rFont val="Calibri"/>
            <family val="2"/>
            <scheme val="minor"/>
          </rPr>
          <t>Introduzca la fecha de inicio del proceso, en formato dd-mm-aaaa</t>
        </r>
      </text>
    </comment>
    <comment ref="F24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4" authorId="2">
      <text/>
    </comment>
    <comment ref="C2475" authorId="2">
      <text>
        <r>
          <rPr>
            <sz val="11"/>
            <color theme="1"/>
            <rFont val="Calibri"/>
            <family val="2"/>
            <scheme val="minor"/>
          </rPr>
          <t>Introduzca la fecha prevista de adjudicación, en formato dd-mm-aaaa</t>
        </r>
      </text>
    </comment>
    <comment ref="F2475" authorId="2">
      <text/>
    </comment>
    <comment ref="F2476" authorId="2">
      <text/>
    </comment>
    <comment ref="A2478" authorId="2">
      <text>
        <r>
          <rPr>
            <sz val="11"/>
            <color theme="1"/>
            <rFont val="Calibri"/>
            <family val="2"/>
            <scheme val="minor"/>
          </rPr>
          <t>Introduzca un codigo UNSPSC</t>
        </r>
      </text>
    </comment>
    <comment ref="B2478" authorId="2">
      <text>
        <r>
          <rPr>
            <sz val="11"/>
            <color theme="1"/>
            <rFont val="Calibri"/>
            <family val="2"/>
            <scheme val="minor"/>
          </rPr>
          <t>Descripción calculada automáticamente a partir de código del artículo</t>
        </r>
      </text>
    </comment>
    <comment ref="C2478" authorId="2">
      <text>
        <r>
          <rPr>
            <sz val="11"/>
            <color theme="1"/>
            <rFont val="Calibri"/>
            <family val="2"/>
            <scheme val="minor"/>
          </rPr>
          <t>Seleccione un valor de la lista</t>
        </r>
      </text>
    </comment>
    <comment ref="D2478" authorId="2">
      <text>
        <r>
          <rPr>
            <sz val="11"/>
            <color theme="1"/>
            <rFont val="Calibri"/>
            <family val="2"/>
            <scheme val="minor"/>
          </rPr>
          <t>Introduzca un número con dos decimales como máximo. Debe ser igual o mayor a la "Cantidad Real Consumida"</t>
        </r>
      </text>
    </comment>
    <comment ref="E2478" authorId="2">
      <text>
        <r>
          <rPr>
            <sz val="11"/>
            <color theme="1"/>
            <rFont val="Calibri"/>
            <family val="2"/>
            <scheme val="minor"/>
          </rPr>
          <t>Introduzca un número con dos decimales como máximo</t>
        </r>
      </text>
    </comment>
    <comment ref="F2478" authorId="2">
      <text>
        <r>
          <rPr>
            <sz val="11"/>
            <color theme="1"/>
            <rFont val="Calibri"/>
            <family val="2"/>
            <scheme val="minor"/>
          </rPr>
          <t>Monto calculado automáticamente por el sistema</t>
        </r>
      </text>
    </comment>
    <comment ref="A2483" authorId="2">
      <text>
        <r>
          <rPr>
            <sz val="11"/>
            <color theme="1"/>
            <rFont val="Calibri"/>
            <family val="2"/>
            <scheme val="minor"/>
          </rPr>
          <t>Introducir un texto con el nombre o referencia de la contratación</t>
        </r>
      </text>
    </comment>
    <comment ref="B2483" authorId="2">
      <text>
        <r>
          <rPr>
            <sz val="11"/>
            <color theme="1"/>
            <rFont val="Calibri"/>
            <family val="2"/>
            <scheme val="minor"/>
          </rPr>
          <t>Introduzca un texto con la finalidad de la contratación</t>
        </r>
      </text>
    </comment>
    <comment ref="C2483" authorId="2">
      <text>
        <r>
          <rPr>
            <sz val="11"/>
            <color theme="1"/>
            <rFont val="Calibri"/>
            <family val="2"/>
            <scheme val="minor"/>
          </rPr>
          <t>Seleccionar un valor del listado</t>
        </r>
      </text>
    </comment>
    <comment ref="D2483" authorId="2">
      <text>
        <r>
          <rPr>
            <sz val="11"/>
            <color theme="1"/>
            <rFont val="Calibri"/>
            <family val="2"/>
            <scheme val="minor"/>
          </rPr>
          <t>Seleccione el tipo de procedimiento</t>
        </r>
      </text>
    </comment>
    <comment ref="E2483" authorId="2">
      <text>
        <r>
          <rPr>
            <sz val="11"/>
            <color theme="1"/>
            <rFont val="Calibri"/>
            <family val="2"/>
            <scheme val="minor"/>
          </rPr>
          <t>Seleccione un valor de la lista</t>
        </r>
      </text>
    </comment>
    <comment ref="F2483" authorId="2">
      <text>
        <r>
          <rPr>
            <sz val="11"/>
            <color theme="1"/>
            <rFont val="Calibri"/>
            <family val="2"/>
            <scheme val="minor"/>
          </rPr>
          <t>Introduzca el código SNIP</t>
        </r>
      </text>
    </comment>
    <comment ref="C2484" authorId="2">
      <text>
        <r>
          <rPr>
            <sz val="11"/>
            <color theme="1"/>
            <rFont val="Calibri"/>
            <family val="2"/>
            <scheme val="minor"/>
          </rPr>
          <t>Introduzca la fecha de inicio del proceso, en formato dd-mm-aaaa</t>
        </r>
      </text>
    </comment>
    <comment ref="F24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5" authorId="2">
      <text/>
    </comment>
    <comment ref="C2486" authorId="2">
      <text>
        <r>
          <rPr>
            <sz val="11"/>
            <color theme="1"/>
            <rFont val="Calibri"/>
            <family val="2"/>
            <scheme val="minor"/>
          </rPr>
          <t>Introduzca la fecha prevista de adjudicación, en formato dd-mm-aaaa</t>
        </r>
      </text>
    </comment>
    <comment ref="F2486" authorId="2">
      <text/>
    </comment>
    <comment ref="F2487" authorId="2">
      <text/>
    </comment>
    <comment ref="A2489" authorId="2">
      <text>
        <r>
          <rPr>
            <sz val="11"/>
            <color theme="1"/>
            <rFont val="Calibri"/>
            <family val="2"/>
            <scheme val="minor"/>
          </rPr>
          <t>Introduzca un codigo UNSPSC</t>
        </r>
      </text>
    </comment>
    <comment ref="B2489" authorId="2">
      <text>
        <r>
          <rPr>
            <sz val="11"/>
            <color theme="1"/>
            <rFont val="Calibri"/>
            <family val="2"/>
            <scheme val="minor"/>
          </rPr>
          <t>Descripción calculada automáticamente a partir de código del artículo</t>
        </r>
      </text>
    </comment>
    <comment ref="C2489" authorId="2">
      <text>
        <r>
          <rPr>
            <sz val="11"/>
            <color theme="1"/>
            <rFont val="Calibri"/>
            <family val="2"/>
            <scheme val="minor"/>
          </rPr>
          <t>Seleccione un valor de la lista</t>
        </r>
      </text>
    </comment>
    <comment ref="D2489" authorId="2">
      <text>
        <r>
          <rPr>
            <sz val="11"/>
            <color theme="1"/>
            <rFont val="Calibri"/>
            <family val="2"/>
            <scheme val="minor"/>
          </rPr>
          <t>Introduzca un número con dos decimales como máximo. Debe ser igual o mayor a la "Cantidad Real Consumida"</t>
        </r>
      </text>
    </comment>
    <comment ref="E2489" authorId="2">
      <text>
        <r>
          <rPr>
            <sz val="11"/>
            <color theme="1"/>
            <rFont val="Calibri"/>
            <family val="2"/>
            <scheme val="minor"/>
          </rPr>
          <t>Introduzca un número con dos decimales como máximo</t>
        </r>
      </text>
    </comment>
    <comment ref="F2489" authorId="2">
      <text>
        <r>
          <rPr>
            <sz val="11"/>
            <color theme="1"/>
            <rFont val="Calibri"/>
            <family val="2"/>
            <scheme val="minor"/>
          </rPr>
          <t>Monto calculado automáticamente por el sistema</t>
        </r>
      </text>
    </comment>
    <comment ref="A2496" authorId="2">
      <text>
        <r>
          <rPr>
            <sz val="11"/>
            <color theme="1"/>
            <rFont val="Calibri"/>
            <family val="2"/>
            <scheme val="minor"/>
          </rPr>
          <t>Introducir un texto con el nombre o referencia de la contratación</t>
        </r>
      </text>
    </comment>
    <comment ref="B2496" authorId="2">
      <text>
        <r>
          <rPr>
            <sz val="11"/>
            <color theme="1"/>
            <rFont val="Calibri"/>
            <family val="2"/>
            <scheme val="minor"/>
          </rPr>
          <t>Introduzca un texto con la finalidad de la contratación</t>
        </r>
      </text>
    </comment>
    <comment ref="C2496" authorId="2">
      <text>
        <r>
          <rPr>
            <sz val="11"/>
            <color theme="1"/>
            <rFont val="Calibri"/>
            <family val="2"/>
            <scheme val="minor"/>
          </rPr>
          <t>Seleccionar un valor del listado</t>
        </r>
      </text>
    </comment>
    <comment ref="D2496" authorId="2">
      <text>
        <r>
          <rPr>
            <sz val="11"/>
            <color theme="1"/>
            <rFont val="Calibri"/>
            <family val="2"/>
            <scheme val="minor"/>
          </rPr>
          <t>Seleccione el tipo de procedimiento</t>
        </r>
      </text>
    </comment>
    <comment ref="E2496" authorId="2">
      <text>
        <r>
          <rPr>
            <sz val="11"/>
            <color theme="1"/>
            <rFont val="Calibri"/>
            <family val="2"/>
            <scheme val="minor"/>
          </rPr>
          <t>Seleccione un valor de la lista</t>
        </r>
      </text>
    </comment>
    <comment ref="F2496" authorId="2">
      <text>
        <r>
          <rPr>
            <sz val="11"/>
            <color theme="1"/>
            <rFont val="Calibri"/>
            <family val="2"/>
            <scheme val="minor"/>
          </rPr>
          <t>Introduzca el código SNIP</t>
        </r>
      </text>
    </comment>
    <comment ref="C2497" authorId="2">
      <text>
        <r>
          <rPr>
            <sz val="11"/>
            <color theme="1"/>
            <rFont val="Calibri"/>
            <family val="2"/>
            <scheme val="minor"/>
          </rPr>
          <t>Introduzca la fecha de inicio del proceso, en formato dd-mm-aaaa</t>
        </r>
      </text>
    </comment>
    <comment ref="F24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8" authorId="2">
      <text/>
    </comment>
    <comment ref="C2499" authorId="2">
      <text>
        <r>
          <rPr>
            <sz val="11"/>
            <color theme="1"/>
            <rFont val="Calibri"/>
            <family val="2"/>
            <scheme val="minor"/>
          </rPr>
          <t>Introduzca la fecha prevista de adjudicación, en formato dd-mm-aaaa</t>
        </r>
      </text>
    </comment>
    <comment ref="F2499" authorId="2">
      <text/>
    </comment>
    <comment ref="F2500" authorId="2">
      <text/>
    </comment>
    <comment ref="A2502" authorId="2">
      <text>
        <r>
          <rPr>
            <sz val="11"/>
            <color theme="1"/>
            <rFont val="Calibri"/>
            <family val="2"/>
            <scheme val="minor"/>
          </rPr>
          <t>Introduzca un codigo UNSPSC</t>
        </r>
      </text>
    </comment>
    <comment ref="B2502" authorId="2">
      <text>
        <r>
          <rPr>
            <sz val="11"/>
            <color theme="1"/>
            <rFont val="Calibri"/>
            <family val="2"/>
            <scheme val="minor"/>
          </rPr>
          <t>Descripción calculada automáticamente a partir de código del artículo</t>
        </r>
      </text>
    </comment>
    <comment ref="C2502" authorId="2">
      <text>
        <r>
          <rPr>
            <sz val="11"/>
            <color theme="1"/>
            <rFont val="Calibri"/>
            <family val="2"/>
            <scheme val="minor"/>
          </rPr>
          <t>Seleccione un valor de la lista</t>
        </r>
      </text>
    </comment>
    <comment ref="D2502" authorId="2">
      <text>
        <r>
          <rPr>
            <sz val="11"/>
            <color theme="1"/>
            <rFont val="Calibri"/>
            <family val="2"/>
            <scheme val="minor"/>
          </rPr>
          <t>Introduzca un número con dos decimales como máximo. Debe ser igual o mayor a la "Cantidad Real Consumida"</t>
        </r>
      </text>
    </comment>
    <comment ref="E2502" authorId="2">
      <text>
        <r>
          <rPr>
            <sz val="11"/>
            <color theme="1"/>
            <rFont val="Calibri"/>
            <family val="2"/>
            <scheme val="minor"/>
          </rPr>
          <t>Introduzca un número con dos decimales como máximo</t>
        </r>
      </text>
    </comment>
    <comment ref="F2502" authorId="2">
      <text>
        <r>
          <rPr>
            <sz val="11"/>
            <color theme="1"/>
            <rFont val="Calibri"/>
            <family val="2"/>
            <scheme val="minor"/>
          </rPr>
          <t>Monto calculado automáticamente por el sistema</t>
        </r>
      </text>
    </comment>
    <comment ref="A2508" authorId="2">
      <text>
        <r>
          <rPr>
            <sz val="11"/>
            <color theme="1"/>
            <rFont val="Calibri"/>
            <family val="2"/>
            <scheme val="minor"/>
          </rPr>
          <t>Introducir un texto con el nombre o referencia de la contratación</t>
        </r>
      </text>
    </comment>
    <comment ref="B2508" authorId="2">
      <text>
        <r>
          <rPr>
            <sz val="11"/>
            <color theme="1"/>
            <rFont val="Calibri"/>
            <family val="2"/>
            <scheme val="minor"/>
          </rPr>
          <t>Introduzca un texto con la finalidad de la contratación</t>
        </r>
      </text>
    </comment>
    <comment ref="C2508" authorId="2">
      <text>
        <r>
          <rPr>
            <sz val="11"/>
            <color theme="1"/>
            <rFont val="Calibri"/>
            <family val="2"/>
            <scheme val="minor"/>
          </rPr>
          <t>Seleccionar un valor del listado</t>
        </r>
      </text>
    </comment>
    <comment ref="D2508" authorId="2">
      <text>
        <r>
          <rPr>
            <sz val="11"/>
            <color theme="1"/>
            <rFont val="Calibri"/>
            <family val="2"/>
            <scheme val="minor"/>
          </rPr>
          <t>Seleccione el tipo de procedimiento</t>
        </r>
      </text>
    </comment>
    <comment ref="E2508" authorId="2">
      <text>
        <r>
          <rPr>
            <sz val="11"/>
            <color theme="1"/>
            <rFont val="Calibri"/>
            <family val="2"/>
            <scheme val="minor"/>
          </rPr>
          <t>Seleccione un valor de la lista</t>
        </r>
      </text>
    </comment>
    <comment ref="F2508" authorId="2">
      <text>
        <r>
          <rPr>
            <sz val="11"/>
            <color theme="1"/>
            <rFont val="Calibri"/>
            <family val="2"/>
            <scheme val="minor"/>
          </rPr>
          <t>Introduzca el código SNIP</t>
        </r>
      </text>
    </comment>
    <comment ref="C2509" authorId="2">
      <text>
        <r>
          <rPr>
            <sz val="11"/>
            <color theme="1"/>
            <rFont val="Calibri"/>
            <family val="2"/>
            <scheme val="minor"/>
          </rPr>
          <t>Introduzca la fecha de inicio del proceso, en formato dd-mm-aaaa</t>
        </r>
      </text>
    </comment>
    <comment ref="F25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2">
      <text/>
    </comment>
    <comment ref="C2511" authorId="2">
      <text>
        <r>
          <rPr>
            <sz val="11"/>
            <color theme="1"/>
            <rFont val="Calibri"/>
            <family val="2"/>
            <scheme val="minor"/>
          </rPr>
          <t>Introduzca la fecha prevista de adjudicación, en formato dd-mm-aaaa</t>
        </r>
      </text>
    </comment>
    <comment ref="F2511" authorId="2">
      <text/>
    </comment>
    <comment ref="F2512" authorId="2">
      <text/>
    </comment>
    <comment ref="A2514" authorId="2">
      <text>
        <r>
          <rPr>
            <sz val="11"/>
            <color theme="1"/>
            <rFont val="Calibri"/>
            <family val="2"/>
            <scheme val="minor"/>
          </rPr>
          <t>Introduzca un codigo UNSPSC</t>
        </r>
      </text>
    </comment>
    <comment ref="B2514" authorId="2">
      <text>
        <r>
          <rPr>
            <sz val="11"/>
            <color theme="1"/>
            <rFont val="Calibri"/>
            <family val="2"/>
            <scheme val="minor"/>
          </rPr>
          <t>Descripción calculada automáticamente a partir de código del artículo</t>
        </r>
      </text>
    </comment>
    <comment ref="C2514" authorId="2">
      <text>
        <r>
          <rPr>
            <sz val="11"/>
            <color theme="1"/>
            <rFont val="Calibri"/>
            <family val="2"/>
            <scheme val="minor"/>
          </rPr>
          <t>Seleccione un valor de la lista</t>
        </r>
      </text>
    </comment>
    <comment ref="D2514" authorId="2">
      <text>
        <r>
          <rPr>
            <sz val="11"/>
            <color theme="1"/>
            <rFont val="Calibri"/>
            <family val="2"/>
            <scheme val="minor"/>
          </rPr>
          <t>Introduzca un número con dos decimales como máximo. Debe ser igual o mayor a la "Cantidad Real Consumida"</t>
        </r>
      </text>
    </comment>
    <comment ref="E2514" authorId="2">
      <text>
        <r>
          <rPr>
            <sz val="11"/>
            <color theme="1"/>
            <rFont val="Calibri"/>
            <family val="2"/>
            <scheme val="minor"/>
          </rPr>
          <t>Introduzca un número con dos decimales como máximo</t>
        </r>
      </text>
    </comment>
    <comment ref="F2514" authorId="2">
      <text>
        <r>
          <rPr>
            <sz val="11"/>
            <color theme="1"/>
            <rFont val="Calibri"/>
            <family val="2"/>
            <scheme val="minor"/>
          </rPr>
          <t>Monto calculado automáticamente por el sistema</t>
        </r>
      </text>
    </comment>
    <comment ref="A2520" authorId="2">
      <text>
        <r>
          <rPr>
            <sz val="11"/>
            <color theme="1"/>
            <rFont val="Calibri"/>
            <family val="2"/>
            <scheme val="minor"/>
          </rPr>
          <t>Introducir un texto con el nombre o referencia de la contratación</t>
        </r>
      </text>
    </comment>
    <comment ref="B2520" authorId="2">
      <text>
        <r>
          <rPr>
            <sz val="11"/>
            <color theme="1"/>
            <rFont val="Calibri"/>
            <family val="2"/>
            <scheme val="minor"/>
          </rPr>
          <t>Introduzca un texto con la finalidad de la contratación</t>
        </r>
      </text>
    </comment>
    <comment ref="C2520" authorId="2">
      <text>
        <r>
          <rPr>
            <sz val="11"/>
            <color theme="1"/>
            <rFont val="Calibri"/>
            <family val="2"/>
            <scheme val="minor"/>
          </rPr>
          <t>Seleccionar un valor del listado</t>
        </r>
      </text>
    </comment>
    <comment ref="D2520" authorId="2">
      <text>
        <r>
          <rPr>
            <sz val="11"/>
            <color theme="1"/>
            <rFont val="Calibri"/>
            <family val="2"/>
            <scheme val="minor"/>
          </rPr>
          <t>Seleccione el tipo de procedimiento</t>
        </r>
      </text>
    </comment>
    <comment ref="E2520" authorId="2">
      <text>
        <r>
          <rPr>
            <sz val="11"/>
            <color theme="1"/>
            <rFont val="Calibri"/>
            <family val="2"/>
            <scheme val="minor"/>
          </rPr>
          <t>Seleccione un valor de la lista</t>
        </r>
      </text>
    </comment>
    <comment ref="F2520" authorId="2">
      <text>
        <r>
          <rPr>
            <sz val="11"/>
            <color theme="1"/>
            <rFont val="Calibri"/>
            <family val="2"/>
            <scheme val="minor"/>
          </rPr>
          <t>Introduzca el código SNIP</t>
        </r>
      </text>
    </comment>
    <comment ref="C2521" authorId="2">
      <text>
        <r>
          <rPr>
            <sz val="11"/>
            <color theme="1"/>
            <rFont val="Calibri"/>
            <family val="2"/>
            <scheme val="minor"/>
          </rPr>
          <t>Introduzca la fecha de inicio del proceso, en formato dd-mm-aaaa</t>
        </r>
      </text>
    </comment>
    <comment ref="F25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2" authorId="2">
      <text/>
    </comment>
    <comment ref="C2523" authorId="2">
      <text>
        <r>
          <rPr>
            <sz val="11"/>
            <color theme="1"/>
            <rFont val="Calibri"/>
            <family val="2"/>
            <scheme val="minor"/>
          </rPr>
          <t>Introduzca la fecha prevista de adjudicación, en formato dd-mm-aaaa</t>
        </r>
      </text>
    </comment>
    <comment ref="F2523" authorId="2">
      <text/>
    </comment>
    <comment ref="F2524" authorId="2">
      <text/>
    </comment>
    <comment ref="A2526" authorId="2">
      <text>
        <r>
          <rPr>
            <sz val="11"/>
            <color theme="1"/>
            <rFont val="Calibri"/>
            <family val="2"/>
            <scheme val="minor"/>
          </rPr>
          <t>Introduzca un codigo UNSPSC</t>
        </r>
      </text>
    </comment>
    <comment ref="B2526" authorId="2">
      <text>
        <r>
          <rPr>
            <sz val="11"/>
            <color theme="1"/>
            <rFont val="Calibri"/>
            <family val="2"/>
            <scheme val="minor"/>
          </rPr>
          <t>Descripción calculada automáticamente a partir de código del artículo</t>
        </r>
      </text>
    </comment>
    <comment ref="C2526" authorId="2">
      <text>
        <r>
          <rPr>
            <sz val="11"/>
            <color theme="1"/>
            <rFont val="Calibri"/>
            <family val="2"/>
            <scheme val="minor"/>
          </rPr>
          <t>Seleccione un valor de la lista</t>
        </r>
      </text>
    </comment>
    <comment ref="D2526" authorId="2">
      <text>
        <r>
          <rPr>
            <sz val="11"/>
            <color theme="1"/>
            <rFont val="Calibri"/>
            <family val="2"/>
            <scheme val="minor"/>
          </rPr>
          <t>Introduzca un número con dos decimales como máximo. Debe ser igual o mayor a la "Cantidad Real Consumida"</t>
        </r>
      </text>
    </comment>
    <comment ref="E2526" authorId="2">
      <text>
        <r>
          <rPr>
            <sz val="11"/>
            <color theme="1"/>
            <rFont val="Calibri"/>
            <family val="2"/>
            <scheme val="minor"/>
          </rPr>
          <t>Introduzca un número con dos decimales como máximo</t>
        </r>
      </text>
    </comment>
    <comment ref="F2526" authorId="2">
      <text>
        <r>
          <rPr>
            <sz val="11"/>
            <color theme="1"/>
            <rFont val="Calibri"/>
            <family val="2"/>
            <scheme val="minor"/>
          </rPr>
          <t>Monto calculado automáticamente por el sistema</t>
        </r>
      </text>
    </comment>
    <comment ref="A2531" authorId="2">
      <text>
        <r>
          <rPr>
            <sz val="11"/>
            <color theme="1"/>
            <rFont val="Calibri"/>
            <family val="2"/>
            <scheme val="minor"/>
          </rPr>
          <t>Introducir un texto con el nombre o referencia de la contratación</t>
        </r>
      </text>
    </comment>
    <comment ref="B2531" authorId="2">
      <text>
        <r>
          <rPr>
            <sz val="11"/>
            <color theme="1"/>
            <rFont val="Calibri"/>
            <family val="2"/>
            <scheme val="minor"/>
          </rPr>
          <t>Introduzca un texto con la finalidad de la contratación</t>
        </r>
      </text>
    </comment>
    <comment ref="C2531" authorId="2">
      <text>
        <r>
          <rPr>
            <sz val="11"/>
            <color theme="1"/>
            <rFont val="Calibri"/>
            <family val="2"/>
            <scheme val="minor"/>
          </rPr>
          <t>Seleccionar un valor del listado</t>
        </r>
      </text>
    </comment>
    <comment ref="D2531" authorId="2">
      <text>
        <r>
          <rPr>
            <sz val="11"/>
            <color theme="1"/>
            <rFont val="Calibri"/>
            <family val="2"/>
            <scheme val="minor"/>
          </rPr>
          <t>Seleccione el tipo de procedimiento</t>
        </r>
      </text>
    </comment>
    <comment ref="E2531" authorId="2">
      <text>
        <r>
          <rPr>
            <sz val="11"/>
            <color theme="1"/>
            <rFont val="Calibri"/>
            <family val="2"/>
            <scheme val="minor"/>
          </rPr>
          <t>Seleccione un valor de la lista</t>
        </r>
      </text>
    </comment>
    <comment ref="F2531" authorId="2">
      <text>
        <r>
          <rPr>
            <sz val="11"/>
            <color theme="1"/>
            <rFont val="Calibri"/>
            <family val="2"/>
            <scheme val="minor"/>
          </rPr>
          <t>Introduzca el código SNIP</t>
        </r>
      </text>
    </comment>
    <comment ref="C2532" authorId="2">
      <text>
        <r>
          <rPr>
            <sz val="11"/>
            <color theme="1"/>
            <rFont val="Calibri"/>
            <family val="2"/>
            <scheme val="minor"/>
          </rPr>
          <t>Introduzca la fecha de inicio del proceso, en formato dd-mm-aaaa</t>
        </r>
      </text>
    </comment>
    <comment ref="F25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3" authorId="2">
      <text/>
    </comment>
    <comment ref="C2534" authorId="2">
      <text>
        <r>
          <rPr>
            <sz val="11"/>
            <color theme="1"/>
            <rFont val="Calibri"/>
            <family val="2"/>
            <scheme val="minor"/>
          </rPr>
          <t>Introduzca la fecha prevista de adjudicación, en formato dd-mm-aaaa</t>
        </r>
      </text>
    </comment>
    <comment ref="F2534" authorId="2">
      <text/>
    </comment>
    <comment ref="F2535" authorId="2">
      <text/>
    </comment>
    <comment ref="A2537" authorId="2">
      <text>
        <r>
          <rPr>
            <sz val="11"/>
            <color theme="1"/>
            <rFont val="Calibri"/>
            <family val="2"/>
            <scheme val="minor"/>
          </rPr>
          <t>Introduzca un codigo UNSPSC</t>
        </r>
      </text>
    </comment>
    <comment ref="B2537" authorId="2">
      <text>
        <r>
          <rPr>
            <sz val="11"/>
            <color theme="1"/>
            <rFont val="Calibri"/>
            <family val="2"/>
            <scheme val="minor"/>
          </rPr>
          <t>Descripción calculada automáticamente a partir de código del artículo</t>
        </r>
      </text>
    </comment>
    <comment ref="C2537" authorId="2">
      <text>
        <r>
          <rPr>
            <sz val="11"/>
            <color theme="1"/>
            <rFont val="Calibri"/>
            <family val="2"/>
            <scheme val="minor"/>
          </rPr>
          <t>Seleccione un valor de la lista</t>
        </r>
      </text>
    </comment>
    <comment ref="D2537" authorId="2">
      <text>
        <r>
          <rPr>
            <sz val="11"/>
            <color theme="1"/>
            <rFont val="Calibri"/>
            <family val="2"/>
            <scheme val="minor"/>
          </rPr>
          <t>Introduzca un número con dos decimales como máximo. Debe ser igual o mayor a la "Cantidad Real Consumida"</t>
        </r>
      </text>
    </comment>
    <comment ref="E2537" authorId="2">
      <text>
        <r>
          <rPr>
            <sz val="11"/>
            <color theme="1"/>
            <rFont val="Calibri"/>
            <family val="2"/>
            <scheme val="minor"/>
          </rPr>
          <t>Introduzca un número con dos decimales como máximo</t>
        </r>
      </text>
    </comment>
    <comment ref="F2537" authorId="2">
      <text>
        <r>
          <rPr>
            <sz val="11"/>
            <color theme="1"/>
            <rFont val="Calibri"/>
            <family val="2"/>
            <scheme val="minor"/>
          </rPr>
          <t>Monto calculado automáticamente por el sistema</t>
        </r>
      </text>
    </comment>
    <comment ref="A2543" authorId="2">
      <text>
        <r>
          <rPr>
            <sz val="11"/>
            <color theme="1"/>
            <rFont val="Calibri"/>
            <family val="2"/>
            <scheme val="minor"/>
          </rPr>
          <t>Introducir un texto con el nombre o referencia de la contratación</t>
        </r>
      </text>
    </comment>
    <comment ref="B2543" authorId="2">
      <text>
        <r>
          <rPr>
            <sz val="11"/>
            <color theme="1"/>
            <rFont val="Calibri"/>
            <family val="2"/>
            <scheme val="minor"/>
          </rPr>
          <t>Introduzca un texto con la finalidad de la contratación</t>
        </r>
      </text>
    </comment>
    <comment ref="C2543" authorId="2">
      <text>
        <r>
          <rPr>
            <sz val="11"/>
            <color theme="1"/>
            <rFont val="Calibri"/>
            <family val="2"/>
            <scheme val="minor"/>
          </rPr>
          <t>Seleccionar un valor del listado</t>
        </r>
      </text>
    </comment>
    <comment ref="D2543" authorId="2">
      <text>
        <r>
          <rPr>
            <sz val="11"/>
            <color theme="1"/>
            <rFont val="Calibri"/>
            <family val="2"/>
            <scheme val="minor"/>
          </rPr>
          <t>Seleccione el tipo de procedimiento</t>
        </r>
      </text>
    </comment>
    <comment ref="E2543" authorId="2">
      <text>
        <r>
          <rPr>
            <sz val="11"/>
            <color theme="1"/>
            <rFont val="Calibri"/>
            <family val="2"/>
            <scheme val="minor"/>
          </rPr>
          <t>Seleccione un valor de la lista</t>
        </r>
      </text>
    </comment>
    <comment ref="F2543" authorId="2">
      <text>
        <r>
          <rPr>
            <sz val="11"/>
            <color theme="1"/>
            <rFont val="Calibri"/>
            <family val="2"/>
            <scheme val="minor"/>
          </rPr>
          <t>Introduzca el código SNIP</t>
        </r>
      </text>
    </comment>
    <comment ref="C2544" authorId="2">
      <text>
        <r>
          <rPr>
            <sz val="11"/>
            <color theme="1"/>
            <rFont val="Calibri"/>
            <family val="2"/>
            <scheme val="minor"/>
          </rPr>
          <t>Introduzca la fecha de inicio del proceso, en formato dd-mm-aaaa</t>
        </r>
      </text>
    </comment>
    <comment ref="F25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5" authorId="2">
      <text/>
    </comment>
    <comment ref="C2546" authorId="2">
      <text>
        <r>
          <rPr>
            <sz val="11"/>
            <color theme="1"/>
            <rFont val="Calibri"/>
            <family val="2"/>
            <scheme val="minor"/>
          </rPr>
          <t>Introduzca la fecha prevista de adjudicación, en formato dd-mm-aaaa</t>
        </r>
      </text>
    </comment>
    <comment ref="F2546" authorId="2">
      <text/>
    </comment>
    <comment ref="F2547" authorId="2">
      <text/>
    </comment>
    <comment ref="A2549" authorId="2">
      <text>
        <r>
          <rPr>
            <sz val="11"/>
            <color theme="1"/>
            <rFont val="Calibri"/>
            <family val="2"/>
            <scheme val="minor"/>
          </rPr>
          <t>Introduzca un codigo UNSPSC</t>
        </r>
      </text>
    </comment>
    <comment ref="B2549" authorId="2">
      <text>
        <r>
          <rPr>
            <sz val="11"/>
            <color theme="1"/>
            <rFont val="Calibri"/>
            <family val="2"/>
            <scheme val="minor"/>
          </rPr>
          <t>Descripción calculada automáticamente a partir de código del artículo</t>
        </r>
      </text>
    </comment>
    <comment ref="C2549" authorId="2">
      <text>
        <r>
          <rPr>
            <sz val="11"/>
            <color theme="1"/>
            <rFont val="Calibri"/>
            <family val="2"/>
            <scheme val="minor"/>
          </rPr>
          <t>Seleccione un valor de la lista</t>
        </r>
      </text>
    </comment>
    <comment ref="D2549" authorId="2">
      <text>
        <r>
          <rPr>
            <sz val="11"/>
            <color theme="1"/>
            <rFont val="Calibri"/>
            <family val="2"/>
            <scheme val="minor"/>
          </rPr>
          <t>Introduzca un número con dos decimales como máximo. Debe ser igual o mayor a la "Cantidad Real Consumida"</t>
        </r>
      </text>
    </comment>
    <comment ref="E2549" authorId="2">
      <text>
        <r>
          <rPr>
            <sz val="11"/>
            <color theme="1"/>
            <rFont val="Calibri"/>
            <family val="2"/>
            <scheme val="minor"/>
          </rPr>
          <t>Introduzca un número con dos decimales como máximo</t>
        </r>
      </text>
    </comment>
    <comment ref="F2549" authorId="2">
      <text>
        <r>
          <rPr>
            <sz val="11"/>
            <color theme="1"/>
            <rFont val="Calibri"/>
            <family val="2"/>
            <scheme val="minor"/>
          </rPr>
          <t>Monto calculado automáticamente por el sistema</t>
        </r>
      </text>
    </comment>
    <comment ref="A2560" authorId="2">
      <text>
        <r>
          <rPr>
            <sz val="11"/>
            <color theme="1"/>
            <rFont val="Calibri"/>
            <family val="2"/>
            <scheme val="minor"/>
          </rPr>
          <t>Introducir un texto con el nombre o referencia de la contratación</t>
        </r>
      </text>
    </comment>
    <comment ref="B2560" authorId="2">
      <text>
        <r>
          <rPr>
            <sz val="11"/>
            <color theme="1"/>
            <rFont val="Calibri"/>
            <family val="2"/>
            <scheme val="minor"/>
          </rPr>
          <t>Introduzca un texto con la finalidad de la contratación</t>
        </r>
      </text>
    </comment>
    <comment ref="C2560" authorId="2">
      <text>
        <r>
          <rPr>
            <sz val="11"/>
            <color theme="1"/>
            <rFont val="Calibri"/>
            <family val="2"/>
            <scheme val="minor"/>
          </rPr>
          <t>Seleccionar un valor del listado</t>
        </r>
      </text>
    </comment>
    <comment ref="D2560" authorId="2">
      <text>
        <r>
          <rPr>
            <sz val="11"/>
            <color theme="1"/>
            <rFont val="Calibri"/>
            <family val="2"/>
            <scheme val="minor"/>
          </rPr>
          <t>Seleccione el tipo de procedimiento</t>
        </r>
      </text>
    </comment>
    <comment ref="E2560" authorId="2">
      <text>
        <r>
          <rPr>
            <sz val="11"/>
            <color theme="1"/>
            <rFont val="Calibri"/>
            <family val="2"/>
            <scheme val="minor"/>
          </rPr>
          <t>Seleccione un valor de la lista</t>
        </r>
      </text>
    </comment>
    <comment ref="F2560" authorId="2">
      <text>
        <r>
          <rPr>
            <sz val="11"/>
            <color theme="1"/>
            <rFont val="Calibri"/>
            <family val="2"/>
            <scheme val="minor"/>
          </rPr>
          <t>Introduzca el código SNIP</t>
        </r>
      </text>
    </comment>
    <comment ref="C2561" authorId="2">
      <text>
        <r>
          <rPr>
            <sz val="11"/>
            <color theme="1"/>
            <rFont val="Calibri"/>
            <family val="2"/>
            <scheme val="minor"/>
          </rPr>
          <t>Introduzca la fecha de inicio del proceso, en formato dd-mm-aaaa</t>
        </r>
      </text>
    </comment>
    <comment ref="F25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2">
      <text/>
    </comment>
    <comment ref="C2563" authorId="2">
      <text>
        <r>
          <rPr>
            <sz val="11"/>
            <color theme="1"/>
            <rFont val="Calibri"/>
            <family val="2"/>
            <scheme val="minor"/>
          </rPr>
          <t>Introduzca la fecha prevista de adjudicación, en formato dd-mm-aaaa</t>
        </r>
      </text>
    </comment>
    <comment ref="F2563" authorId="2">
      <text/>
    </comment>
    <comment ref="F2564" authorId="2">
      <text/>
    </comment>
    <comment ref="A2566" authorId="2">
      <text>
        <r>
          <rPr>
            <sz val="11"/>
            <color theme="1"/>
            <rFont val="Calibri"/>
            <family val="2"/>
            <scheme val="minor"/>
          </rPr>
          <t>Introduzca un codigo UNSPSC</t>
        </r>
      </text>
    </comment>
    <comment ref="B2566" authorId="2">
      <text>
        <r>
          <rPr>
            <sz val="11"/>
            <color theme="1"/>
            <rFont val="Calibri"/>
            <family val="2"/>
            <scheme val="minor"/>
          </rPr>
          <t>Descripción calculada automáticamente a partir de código del artículo</t>
        </r>
      </text>
    </comment>
    <comment ref="C2566" authorId="2">
      <text>
        <r>
          <rPr>
            <sz val="11"/>
            <color theme="1"/>
            <rFont val="Calibri"/>
            <family val="2"/>
            <scheme val="minor"/>
          </rPr>
          <t>Seleccione un valor de la lista</t>
        </r>
      </text>
    </comment>
    <comment ref="D2566" authorId="2">
      <text>
        <r>
          <rPr>
            <sz val="11"/>
            <color theme="1"/>
            <rFont val="Calibri"/>
            <family val="2"/>
            <scheme val="minor"/>
          </rPr>
          <t>Introduzca un número con dos decimales como máximo. Debe ser igual o mayor a la "Cantidad Real Consumida"</t>
        </r>
      </text>
    </comment>
    <comment ref="E2566" authorId="2">
      <text>
        <r>
          <rPr>
            <sz val="11"/>
            <color theme="1"/>
            <rFont val="Calibri"/>
            <family val="2"/>
            <scheme val="minor"/>
          </rPr>
          <t>Introduzca un número con dos decimales como máximo</t>
        </r>
      </text>
    </comment>
    <comment ref="F2566" authorId="2">
      <text>
        <r>
          <rPr>
            <sz val="11"/>
            <color theme="1"/>
            <rFont val="Calibri"/>
            <family val="2"/>
            <scheme val="minor"/>
          </rPr>
          <t>Monto calculado automáticamente por el sistema</t>
        </r>
      </text>
    </comment>
    <comment ref="A2571" authorId="2">
      <text>
        <r>
          <rPr>
            <sz val="11"/>
            <color theme="1"/>
            <rFont val="Calibri"/>
            <family val="2"/>
            <scheme val="minor"/>
          </rPr>
          <t>Introducir un texto con el nombre o referencia de la contratación</t>
        </r>
      </text>
    </comment>
    <comment ref="B2571" authorId="2">
      <text>
        <r>
          <rPr>
            <sz val="11"/>
            <color theme="1"/>
            <rFont val="Calibri"/>
            <family val="2"/>
            <scheme val="minor"/>
          </rPr>
          <t>Introduzca un texto con la finalidad de la contratación</t>
        </r>
      </text>
    </comment>
    <comment ref="C2571" authorId="2">
      <text>
        <r>
          <rPr>
            <sz val="11"/>
            <color theme="1"/>
            <rFont val="Calibri"/>
            <family val="2"/>
            <scheme val="minor"/>
          </rPr>
          <t>Seleccionar un valor del listado</t>
        </r>
      </text>
    </comment>
    <comment ref="D2571" authorId="2">
      <text>
        <r>
          <rPr>
            <sz val="11"/>
            <color theme="1"/>
            <rFont val="Calibri"/>
            <family val="2"/>
            <scheme val="minor"/>
          </rPr>
          <t>Seleccione el tipo de procedimiento</t>
        </r>
      </text>
    </comment>
    <comment ref="E2571" authorId="2">
      <text>
        <r>
          <rPr>
            <sz val="11"/>
            <color theme="1"/>
            <rFont val="Calibri"/>
            <family val="2"/>
            <scheme val="minor"/>
          </rPr>
          <t>Seleccione un valor de la lista</t>
        </r>
      </text>
    </comment>
    <comment ref="F2571" authorId="2">
      <text>
        <r>
          <rPr>
            <sz val="11"/>
            <color theme="1"/>
            <rFont val="Calibri"/>
            <family val="2"/>
            <scheme val="minor"/>
          </rPr>
          <t>Introduzca el código SNIP</t>
        </r>
      </text>
    </comment>
    <comment ref="C2572" authorId="2">
      <text>
        <r>
          <rPr>
            <sz val="11"/>
            <color theme="1"/>
            <rFont val="Calibri"/>
            <family val="2"/>
            <scheme val="minor"/>
          </rPr>
          <t>Introduzca la fecha de inicio del proceso, en formato dd-mm-aaaa</t>
        </r>
      </text>
    </comment>
    <comment ref="F25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3" authorId="2">
      <text/>
    </comment>
    <comment ref="C2574" authorId="2">
      <text>
        <r>
          <rPr>
            <sz val="11"/>
            <color theme="1"/>
            <rFont val="Calibri"/>
            <family val="2"/>
            <scheme val="minor"/>
          </rPr>
          <t>Introduzca la fecha prevista de adjudicación, en formato dd-mm-aaaa</t>
        </r>
      </text>
    </comment>
    <comment ref="F2574" authorId="2">
      <text/>
    </comment>
    <comment ref="F2575" authorId="2">
      <text/>
    </comment>
    <comment ref="A2577" authorId="2">
      <text>
        <r>
          <rPr>
            <sz val="11"/>
            <color theme="1"/>
            <rFont val="Calibri"/>
            <family val="2"/>
            <scheme val="minor"/>
          </rPr>
          <t>Introduzca un codigo UNSPSC</t>
        </r>
      </text>
    </comment>
    <comment ref="B2577" authorId="2">
      <text>
        <r>
          <rPr>
            <sz val="11"/>
            <color theme="1"/>
            <rFont val="Calibri"/>
            <family val="2"/>
            <scheme val="minor"/>
          </rPr>
          <t>Descripción calculada automáticamente a partir de código del artículo</t>
        </r>
      </text>
    </comment>
    <comment ref="C2577" authorId="2">
      <text>
        <r>
          <rPr>
            <sz val="11"/>
            <color theme="1"/>
            <rFont val="Calibri"/>
            <family val="2"/>
            <scheme val="minor"/>
          </rPr>
          <t>Seleccione un valor de la lista</t>
        </r>
      </text>
    </comment>
    <comment ref="D2577" authorId="2">
      <text>
        <r>
          <rPr>
            <sz val="11"/>
            <color theme="1"/>
            <rFont val="Calibri"/>
            <family val="2"/>
            <scheme val="minor"/>
          </rPr>
          <t>Introduzca un número con dos decimales como máximo. Debe ser igual o mayor a la "Cantidad Real Consumida"</t>
        </r>
      </text>
    </comment>
    <comment ref="E2577" authorId="2">
      <text>
        <r>
          <rPr>
            <sz val="11"/>
            <color theme="1"/>
            <rFont val="Calibri"/>
            <family val="2"/>
            <scheme val="minor"/>
          </rPr>
          <t>Introduzca un número con dos decimales como máximo</t>
        </r>
      </text>
    </comment>
    <comment ref="F2577" authorId="2">
      <text>
        <r>
          <rPr>
            <sz val="11"/>
            <color theme="1"/>
            <rFont val="Calibri"/>
            <family val="2"/>
            <scheme val="minor"/>
          </rPr>
          <t>Monto calculado automáticamente por el sistema</t>
        </r>
      </text>
    </comment>
    <comment ref="A2582" authorId="2">
      <text>
        <r>
          <rPr>
            <sz val="11"/>
            <color theme="1"/>
            <rFont val="Calibri"/>
            <family val="2"/>
            <scheme val="minor"/>
          </rPr>
          <t>Introducir un texto con el nombre o referencia de la contratación</t>
        </r>
      </text>
    </comment>
    <comment ref="B2582" authorId="2">
      <text>
        <r>
          <rPr>
            <sz val="11"/>
            <color theme="1"/>
            <rFont val="Calibri"/>
            <family val="2"/>
            <scheme val="minor"/>
          </rPr>
          <t>Introduzca un texto con la finalidad de la contratación</t>
        </r>
      </text>
    </comment>
    <comment ref="C2582" authorId="2">
      <text>
        <r>
          <rPr>
            <sz val="11"/>
            <color theme="1"/>
            <rFont val="Calibri"/>
            <family val="2"/>
            <scheme val="minor"/>
          </rPr>
          <t>Seleccionar un valor del listado</t>
        </r>
      </text>
    </comment>
    <comment ref="D2582" authorId="2">
      <text>
        <r>
          <rPr>
            <sz val="11"/>
            <color theme="1"/>
            <rFont val="Calibri"/>
            <family val="2"/>
            <scheme val="minor"/>
          </rPr>
          <t>Seleccione el tipo de procedimiento</t>
        </r>
      </text>
    </comment>
    <comment ref="E2582" authorId="2">
      <text>
        <r>
          <rPr>
            <sz val="11"/>
            <color theme="1"/>
            <rFont val="Calibri"/>
            <family val="2"/>
            <scheme val="minor"/>
          </rPr>
          <t>Seleccione un valor de la lista</t>
        </r>
      </text>
    </comment>
    <comment ref="F2582" authorId="2">
      <text>
        <r>
          <rPr>
            <sz val="11"/>
            <color theme="1"/>
            <rFont val="Calibri"/>
            <family val="2"/>
            <scheme val="minor"/>
          </rPr>
          <t>Introduzca el código SNIP</t>
        </r>
      </text>
    </comment>
    <comment ref="C2583" authorId="2">
      <text>
        <r>
          <rPr>
            <sz val="11"/>
            <color theme="1"/>
            <rFont val="Calibri"/>
            <family val="2"/>
            <scheme val="minor"/>
          </rPr>
          <t>Introduzca la fecha de inicio del proceso, en formato dd-mm-aaaa</t>
        </r>
      </text>
    </comment>
    <comment ref="F25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4" authorId="2">
      <text/>
    </comment>
    <comment ref="C2585" authorId="2">
      <text>
        <r>
          <rPr>
            <sz val="11"/>
            <color theme="1"/>
            <rFont val="Calibri"/>
            <family val="2"/>
            <scheme val="minor"/>
          </rPr>
          <t>Introduzca la fecha prevista de adjudicación, en formato dd-mm-aaaa</t>
        </r>
      </text>
    </comment>
    <comment ref="F2585" authorId="2">
      <text/>
    </comment>
    <comment ref="F2586" authorId="2">
      <text/>
    </comment>
    <comment ref="A2588" authorId="2">
      <text>
        <r>
          <rPr>
            <sz val="11"/>
            <color theme="1"/>
            <rFont val="Calibri"/>
            <family val="2"/>
            <scheme val="minor"/>
          </rPr>
          <t>Introduzca un codigo UNSPSC</t>
        </r>
      </text>
    </comment>
    <comment ref="B2588" authorId="2">
      <text>
        <r>
          <rPr>
            <sz val="11"/>
            <color theme="1"/>
            <rFont val="Calibri"/>
            <family val="2"/>
            <scheme val="minor"/>
          </rPr>
          <t>Descripción calculada automáticamente a partir de código del artículo</t>
        </r>
      </text>
    </comment>
    <comment ref="C2588" authorId="2">
      <text>
        <r>
          <rPr>
            <sz val="11"/>
            <color theme="1"/>
            <rFont val="Calibri"/>
            <family val="2"/>
            <scheme val="minor"/>
          </rPr>
          <t>Seleccione un valor de la lista</t>
        </r>
      </text>
    </comment>
    <comment ref="D2588" authorId="2">
      <text>
        <r>
          <rPr>
            <sz val="11"/>
            <color theme="1"/>
            <rFont val="Calibri"/>
            <family val="2"/>
            <scheme val="minor"/>
          </rPr>
          <t>Introduzca un número con dos decimales como máximo. Debe ser igual o mayor a la "Cantidad Real Consumida"</t>
        </r>
      </text>
    </comment>
    <comment ref="E2588" authorId="2">
      <text>
        <r>
          <rPr>
            <sz val="11"/>
            <color theme="1"/>
            <rFont val="Calibri"/>
            <family val="2"/>
            <scheme val="minor"/>
          </rPr>
          <t>Introduzca un número con dos decimales como máximo</t>
        </r>
      </text>
    </comment>
    <comment ref="F2588" authorId="2">
      <text>
        <r>
          <rPr>
            <sz val="11"/>
            <color theme="1"/>
            <rFont val="Calibri"/>
            <family val="2"/>
            <scheme val="minor"/>
          </rPr>
          <t>Monto calculado automáticamente por el sistema</t>
        </r>
      </text>
    </comment>
    <comment ref="A2593" authorId="2">
      <text>
        <r>
          <rPr>
            <sz val="11"/>
            <color theme="1"/>
            <rFont val="Calibri"/>
            <family val="2"/>
            <scheme val="minor"/>
          </rPr>
          <t>Introducir un texto con el nombre o referencia de la contratación</t>
        </r>
      </text>
    </comment>
    <comment ref="B2593" authorId="2">
      <text>
        <r>
          <rPr>
            <sz val="11"/>
            <color theme="1"/>
            <rFont val="Calibri"/>
            <family val="2"/>
            <scheme val="minor"/>
          </rPr>
          <t>Introduzca un texto con la finalidad de la contratación</t>
        </r>
      </text>
    </comment>
    <comment ref="C2593" authorId="2">
      <text>
        <r>
          <rPr>
            <sz val="11"/>
            <color theme="1"/>
            <rFont val="Calibri"/>
            <family val="2"/>
            <scheme val="minor"/>
          </rPr>
          <t>Seleccionar un valor del listado</t>
        </r>
      </text>
    </comment>
    <comment ref="D2593" authorId="2">
      <text>
        <r>
          <rPr>
            <sz val="11"/>
            <color theme="1"/>
            <rFont val="Calibri"/>
            <family val="2"/>
            <scheme val="minor"/>
          </rPr>
          <t>Seleccione el tipo de procedimiento</t>
        </r>
      </text>
    </comment>
    <comment ref="E2593" authorId="2">
      <text>
        <r>
          <rPr>
            <sz val="11"/>
            <color theme="1"/>
            <rFont val="Calibri"/>
            <family val="2"/>
            <scheme val="minor"/>
          </rPr>
          <t>Seleccione un valor de la lista</t>
        </r>
      </text>
    </comment>
    <comment ref="F2593" authorId="2">
      <text>
        <r>
          <rPr>
            <sz val="11"/>
            <color theme="1"/>
            <rFont val="Calibri"/>
            <family val="2"/>
            <scheme val="minor"/>
          </rPr>
          <t>Introduzca el código SNIP</t>
        </r>
      </text>
    </comment>
    <comment ref="C2594" authorId="2">
      <text>
        <r>
          <rPr>
            <sz val="11"/>
            <color theme="1"/>
            <rFont val="Calibri"/>
            <family val="2"/>
            <scheme val="minor"/>
          </rPr>
          <t>Introduzca la fecha de inicio del proceso, en formato dd-mm-aaaa</t>
        </r>
      </text>
    </comment>
    <comment ref="F25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5" authorId="2">
      <text/>
    </comment>
    <comment ref="C2596" authorId="2">
      <text>
        <r>
          <rPr>
            <sz val="11"/>
            <color theme="1"/>
            <rFont val="Calibri"/>
            <family val="2"/>
            <scheme val="minor"/>
          </rPr>
          <t>Introduzca la fecha prevista de adjudicación, en formato dd-mm-aaaa</t>
        </r>
      </text>
    </comment>
    <comment ref="F2596" authorId="2">
      <text/>
    </comment>
    <comment ref="F2597" authorId="2">
      <text/>
    </comment>
    <comment ref="A2599" authorId="2">
      <text>
        <r>
          <rPr>
            <sz val="11"/>
            <color theme="1"/>
            <rFont val="Calibri"/>
            <family val="2"/>
            <scheme val="minor"/>
          </rPr>
          <t>Introduzca un codigo UNSPSC</t>
        </r>
      </text>
    </comment>
    <comment ref="B2599" authorId="2">
      <text>
        <r>
          <rPr>
            <sz val="11"/>
            <color theme="1"/>
            <rFont val="Calibri"/>
            <family val="2"/>
            <scheme val="minor"/>
          </rPr>
          <t>Descripción calculada automáticamente a partir de código del artículo</t>
        </r>
      </text>
    </comment>
    <comment ref="C2599" authorId="2">
      <text>
        <r>
          <rPr>
            <sz val="11"/>
            <color theme="1"/>
            <rFont val="Calibri"/>
            <family val="2"/>
            <scheme val="minor"/>
          </rPr>
          <t>Seleccione un valor de la lista</t>
        </r>
      </text>
    </comment>
    <comment ref="D2599" authorId="2">
      <text>
        <r>
          <rPr>
            <sz val="11"/>
            <color theme="1"/>
            <rFont val="Calibri"/>
            <family val="2"/>
            <scheme val="minor"/>
          </rPr>
          <t>Introduzca un número con dos decimales como máximo. Debe ser igual o mayor a la "Cantidad Real Consumida"</t>
        </r>
      </text>
    </comment>
    <comment ref="E2599" authorId="2">
      <text>
        <r>
          <rPr>
            <sz val="11"/>
            <color theme="1"/>
            <rFont val="Calibri"/>
            <family val="2"/>
            <scheme val="minor"/>
          </rPr>
          <t>Introduzca un número con dos decimales como máximo</t>
        </r>
      </text>
    </comment>
    <comment ref="F2599" authorId="2">
      <text>
        <r>
          <rPr>
            <sz val="11"/>
            <color theme="1"/>
            <rFont val="Calibri"/>
            <family val="2"/>
            <scheme val="minor"/>
          </rPr>
          <t>Monto calculado automáticamente por el sistema</t>
        </r>
      </text>
    </comment>
    <comment ref="A2604" authorId="2">
      <text>
        <r>
          <rPr>
            <sz val="11"/>
            <color theme="1"/>
            <rFont val="Calibri"/>
            <family val="2"/>
            <scheme val="minor"/>
          </rPr>
          <t>Introducir un texto con el nombre o referencia de la contratación</t>
        </r>
      </text>
    </comment>
    <comment ref="B2604" authorId="2">
      <text>
        <r>
          <rPr>
            <sz val="11"/>
            <color theme="1"/>
            <rFont val="Calibri"/>
            <family val="2"/>
            <scheme val="minor"/>
          </rPr>
          <t>Introduzca un texto con la finalidad de la contratación</t>
        </r>
      </text>
    </comment>
    <comment ref="C2604" authorId="2">
      <text>
        <r>
          <rPr>
            <sz val="11"/>
            <color theme="1"/>
            <rFont val="Calibri"/>
            <family val="2"/>
            <scheme val="minor"/>
          </rPr>
          <t>Seleccionar un valor del listado</t>
        </r>
      </text>
    </comment>
    <comment ref="D2604" authorId="2">
      <text>
        <r>
          <rPr>
            <sz val="11"/>
            <color theme="1"/>
            <rFont val="Calibri"/>
            <family val="2"/>
            <scheme val="minor"/>
          </rPr>
          <t>Seleccione el tipo de procedimiento</t>
        </r>
      </text>
    </comment>
    <comment ref="E2604" authorId="2">
      <text>
        <r>
          <rPr>
            <sz val="11"/>
            <color theme="1"/>
            <rFont val="Calibri"/>
            <family val="2"/>
            <scheme val="minor"/>
          </rPr>
          <t>Seleccione un valor de la lista</t>
        </r>
      </text>
    </comment>
    <comment ref="F2604" authorId="2">
      <text>
        <r>
          <rPr>
            <sz val="11"/>
            <color theme="1"/>
            <rFont val="Calibri"/>
            <family val="2"/>
            <scheme val="minor"/>
          </rPr>
          <t>Introduzca el código SNIP</t>
        </r>
      </text>
    </comment>
    <comment ref="C2605" authorId="2">
      <text>
        <r>
          <rPr>
            <sz val="11"/>
            <color theme="1"/>
            <rFont val="Calibri"/>
            <family val="2"/>
            <scheme val="minor"/>
          </rPr>
          <t>Introduzca la fecha de inicio del proceso, en formato dd-mm-aaaa</t>
        </r>
      </text>
    </comment>
    <comment ref="F26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6" authorId="2">
      <text/>
    </comment>
    <comment ref="C2607" authorId="2">
      <text>
        <r>
          <rPr>
            <sz val="11"/>
            <color theme="1"/>
            <rFont val="Calibri"/>
            <family val="2"/>
            <scheme val="minor"/>
          </rPr>
          <t>Introduzca la fecha prevista de adjudicación, en formato dd-mm-aaaa</t>
        </r>
      </text>
    </comment>
    <comment ref="F2607" authorId="2">
      <text/>
    </comment>
    <comment ref="F2608" authorId="2">
      <text/>
    </comment>
    <comment ref="A2610" authorId="2">
      <text>
        <r>
          <rPr>
            <sz val="11"/>
            <color theme="1"/>
            <rFont val="Calibri"/>
            <family val="2"/>
            <scheme val="minor"/>
          </rPr>
          <t>Introduzca un codigo UNSPSC</t>
        </r>
      </text>
    </comment>
    <comment ref="B2610" authorId="2">
      <text>
        <r>
          <rPr>
            <sz val="11"/>
            <color theme="1"/>
            <rFont val="Calibri"/>
            <family val="2"/>
            <scheme val="minor"/>
          </rPr>
          <t>Descripción calculada automáticamente a partir de código del artículo</t>
        </r>
      </text>
    </comment>
    <comment ref="C2610" authorId="2">
      <text>
        <r>
          <rPr>
            <sz val="11"/>
            <color theme="1"/>
            <rFont val="Calibri"/>
            <family val="2"/>
            <scheme val="minor"/>
          </rPr>
          <t>Seleccione un valor de la lista</t>
        </r>
      </text>
    </comment>
    <comment ref="D2610" authorId="2">
      <text>
        <r>
          <rPr>
            <sz val="11"/>
            <color theme="1"/>
            <rFont val="Calibri"/>
            <family val="2"/>
            <scheme val="minor"/>
          </rPr>
          <t>Introduzca un número con dos decimales como máximo. Debe ser igual o mayor a la "Cantidad Real Consumida"</t>
        </r>
      </text>
    </comment>
    <comment ref="E2610" authorId="2">
      <text>
        <r>
          <rPr>
            <sz val="11"/>
            <color theme="1"/>
            <rFont val="Calibri"/>
            <family val="2"/>
            <scheme val="minor"/>
          </rPr>
          <t>Introduzca un número con dos decimales como máximo</t>
        </r>
      </text>
    </comment>
    <comment ref="F2610" authorId="2">
      <text>
        <r>
          <rPr>
            <sz val="11"/>
            <color theme="1"/>
            <rFont val="Calibri"/>
            <family val="2"/>
            <scheme val="minor"/>
          </rPr>
          <t>Monto calculado automáticamente por el sistema</t>
        </r>
      </text>
    </comment>
    <comment ref="A2615" authorId="2">
      <text>
        <r>
          <rPr>
            <sz val="11"/>
            <color theme="1"/>
            <rFont val="Calibri"/>
            <family val="2"/>
            <scheme val="minor"/>
          </rPr>
          <t>Introducir un texto con el nombre o referencia de la contratación</t>
        </r>
      </text>
    </comment>
    <comment ref="B2615" authorId="2">
      <text>
        <r>
          <rPr>
            <sz val="11"/>
            <color theme="1"/>
            <rFont val="Calibri"/>
            <family val="2"/>
            <scheme val="minor"/>
          </rPr>
          <t>Introduzca un texto con la finalidad de la contratación</t>
        </r>
      </text>
    </comment>
    <comment ref="C2615" authorId="2">
      <text>
        <r>
          <rPr>
            <sz val="11"/>
            <color theme="1"/>
            <rFont val="Calibri"/>
            <family val="2"/>
            <scheme val="minor"/>
          </rPr>
          <t>Seleccionar un valor del listado</t>
        </r>
      </text>
    </comment>
    <comment ref="D2615" authorId="2">
      <text>
        <r>
          <rPr>
            <sz val="11"/>
            <color theme="1"/>
            <rFont val="Calibri"/>
            <family val="2"/>
            <scheme val="minor"/>
          </rPr>
          <t>Seleccione el tipo de procedimiento</t>
        </r>
      </text>
    </comment>
    <comment ref="E2615" authorId="2">
      <text>
        <r>
          <rPr>
            <sz val="11"/>
            <color theme="1"/>
            <rFont val="Calibri"/>
            <family val="2"/>
            <scheme val="minor"/>
          </rPr>
          <t>Seleccione un valor de la lista</t>
        </r>
      </text>
    </comment>
    <comment ref="F2615" authorId="2">
      <text>
        <r>
          <rPr>
            <sz val="11"/>
            <color theme="1"/>
            <rFont val="Calibri"/>
            <family val="2"/>
            <scheme val="minor"/>
          </rPr>
          <t>Introduzca el código SNIP</t>
        </r>
      </text>
    </comment>
    <comment ref="C2616" authorId="2">
      <text>
        <r>
          <rPr>
            <sz val="11"/>
            <color theme="1"/>
            <rFont val="Calibri"/>
            <family val="2"/>
            <scheme val="minor"/>
          </rPr>
          <t>Introduzca la fecha de inicio del proceso, en formato dd-mm-aaaa</t>
        </r>
      </text>
    </comment>
    <comment ref="F26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7" authorId="2">
      <text/>
    </comment>
    <comment ref="C2618" authorId="2">
      <text>
        <r>
          <rPr>
            <sz val="11"/>
            <color theme="1"/>
            <rFont val="Calibri"/>
            <family val="2"/>
            <scheme val="minor"/>
          </rPr>
          <t>Introduzca la fecha prevista de adjudicación, en formato dd-mm-aaaa</t>
        </r>
      </text>
    </comment>
    <comment ref="F2618" authorId="2">
      <text/>
    </comment>
    <comment ref="F2619" authorId="2">
      <text/>
    </comment>
    <comment ref="A2621" authorId="2">
      <text>
        <r>
          <rPr>
            <sz val="11"/>
            <color theme="1"/>
            <rFont val="Calibri"/>
            <family val="2"/>
            <scheme val="minor"/>
          </rPr>
          <t>Introduzca un codigo UNSPSC</t>
        </r>
      </text>
    </comment>
    <comment ref="B2621" authorId="2">
      <text>
        <r>
          <rPr>
            <sz val="11"/>
            <color theme="1"/>
            <rFont val="Calibri"/>
            <family val="2"/>
            <scheme val="minor"/>
          </rPr>
          <t>Descripción calculada automáticamente a partir de código del artículo</t>
        </r>
      </text>
    </comment>
    <comment ref="C2621" authorId="2">
      <text>
        <r>
          <rPr>
            <sz val="11"/>
            <color theme="1"/>
            <rFont val="Calibri"/>
            <family val="2"/>
            <scheme val="minor"/>
          </rPr>
          <t>Seleccione un valor de la lista</t>
        </r>
      </text>
    </comment>
    <comment ref="D2621" authorId="2">
      <text>
        <r>
          <rPr>
            <sz val="11"/>
            <color theme="1"/>
            <rFont val="Calibri"/>
            <family val="2"/>
            <scheme val="minor"/>
          </rPr>
          <t>Introduzca un número con dos decimales como máximo. Debe ser igual o mayor a la "Cantidad Real Consumida"</t>
        </r>
      </text>
    </comment>
    <comment ref="E2621" authorId="2">
      <text>
        <r>
          <rPr>
            <sz val="11"/>
            <color theme="1"/>
            <rFont val="Calibri"/>
            <family val="2"/>
            <scheme val="minor"/>
          </rPr>
          <t>Introduzca un número con dos decimales como máximo</t>
        </r>
      </text>
    </comment>
    <comment ref="F2621" authorId="2">
      <text>
        <r>
          <rPr>
            <sz val="11"/>
            <color theme="1"/>
            <rFont val="Calibri"/>
            <family val="2"/>
            <scheme val="minor"/>
          </rPr>
          <t>Monto calculado automáticamente por el sistema</t>
        </r>
      </text>
    </comment>
    <comment ref="A2626" authorId="2">
      <text>
        <r>
          <rPr>
            <sz val="11"/>
            <color theme="1"/>
            <rFont val="Calibri"/>
            <family val="2"/>
            <scheme val="minor"/>
          </rPr>
          <t>Introducir un texto con el nombre o referencia de la contratación</t>
        </r>
      </text>
    </comment>
    <comment ref="B2626" authorId="2">
      <text>
        <r>
          <rPr>
            <sz val="11"/>
            <color theme="1"/>
            <rFont val="Calibri"/>
            <family val="2"/>
            <scheme val="minor"/>
          </rPr>
          <t>Introduzca un texto con la finalidad de la contratación</t>
        </r>
      </text>
    </comment>
    <comment ref="C2626" authorId="2">
      <text>
        <r>
          <rPr>
            <sz val="11"/>
            <color theme="1"/>
            <rFont val="Calibri"/>
            <family val="2"/>
            <scheme val="minor"/>
          </rPr>
          <t>Seleccionar un valor del listado</t>
        </r>
      </text>
    </comment>
    <comment ref="D2626" authorId="2">
      <text>
        <r>
          <rPr>
            <sz val="11"/>
            <color theme="1"/>
            <rFont val="Calibri"/>
            <family val="2"/>
            <scheme val="minor"/>
          </rPr>
          <t>Seleccione el tipo de procedimiento</t>
        </r>
      </text>
    </comment>
    <comment ref="E2626" authorId="2">
      <text>
        <r>
          <rPr>
            <sz val="11"/>
            <color theme="1"/>
            <rFont val="Calibri"/>
            <family val="2"/>
            <scheme val="minor"/>
          </rPr>
          <t>Seleccione un valor de la lista</t>
        </r>
      </text>
    </comment>
    <comment ref="F2626" authorId="2">
      <text>
        <r>
          <rPr>
            <sz val="11"/>
            <color theme="1"/>
            <rFont val="Calibri"/>
            <family val="2"/>
            <scheme val="minor"/>
          </rPr>
          <t>Introduzca el código SNIP</t>
        </r>
      </text>
    </comment>
    <comment ref="C2627" authorId="2">
      <text>
        <r>
          <rPr>
            <sz val="11"/>
            <color theme="1"/>
            <rFont val="Calibri"/>
            <family val="2"/>
            <scheme val="minor"/>
          </rPr>
          <t>Introduzca la fecha de inicio del proceso, en formato dd-mm-aaaa</t>
        </r>
      </text>
    </comment>
    <comment ref="F26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8" authorId="2">
      <text/>
    </comment>
    <comment ref="C2629" authorId="2">
      <text>
        <r>
          <rPr>
            <sz val="11"/>
            <color theme="1"/>
            <rFont val="Calibri"/>
            <family val="2"/>
            <scheme val="minor"/>
          </rPr>
          <t>Introduzca la fecha prevista de adjudicación, en formato dd-mm-aaaa</t>
        </r>
      </text>
    </comment>
    <comment ref="F2629" authorId="2">
      <text/>
    </comment>
    <comment ref="F2630" authorId="2">
      <text/>
    </comment>
    <comment ref="A2632" authorId="2">
      <text>
        <r>
          <rPr>
            <sz val="11"/>
            <color theme="1"/>
            <rFont val="Calibri"/>
            <family val="2"/>
            <scheme val="minor"/>
          </rPr>
          <t>Introduzca un codigo UNSPSC</t>
        </r>
      </text>
    </comment>
    <comment ref="B2632" authorId="2">
      <text>
        <r>
          <rPr>
            <sz val="11"/>
            <color theme="1"/>
            <rFont val="Calibri"/>
            <family val="2"/>
            <scheme val="minor"/>
          </rPr>
          <t>Descripción calculada automáticamente a partir de código del artículo</t>
        </r>
      </text>
    </comment>
    <comment ref="C2632" authorId="2">
      <text>
        <r>
          <rPr>
            <sz val="11"/>
            <color theme="1"/>
            <rFont val="Calibri"/>
            <family val="2"/>
            <scheme val="minor"/>
          </rPr>
          <t>Seleccione un valor de la lista</t>
        </r>
      </text>
    </comment>
    <comment ref="D2632" authorId="2">
      <text>
        <r>
          <rPr>
            <sz val="11"/>
            <color theme="1"/>
            <rFont val="Calibri"/>
            <family val="2"/>
            <scheme val="minor"/>
          </rPr>
          <t>Introduzca un número con dos decimales como máximo. Debe ser igual o mayor a la "Cantidad Real Consumida"</t>
        </r>
      </text>
    </comment>
    <comment ref="E2632" authorId="2">
      <text>
        <r>
          <rPr>
            <sz val="11"/>
            <color theme="1"/>
            <rFont val="Calibri"/>
            <family val="2"/>
            <scheme val="minor"/>
          </rPr>
          <t>Introduzca un número con dos decimales como máximo</t>
        </r>
      </text>
    </comment>
    <comment ref="F2632" authorId="2">
      <text>
        <r>
          <rPr>
            <sz val="11"/>
            <color theme="1"/>
            <rFont val="Calibri"/>
            <family val="2"/>
            <scheme val="minor"/>
          </rPr>
          <t>Monto calculado automáticamente por el sistema</t>
        </r>
      </text>
    </comment>
    <comment ref="A2637" authorId="2">
      <text>
        <r>
          <rPr>
            <sz val="11"/>
            <color theme="1"/>
            <rFont val="Calibri"/>
            <family val="2"/>
            <scheme val="minor"/>
          </rPr>
          <t>Introducir un texto con el nombre o referencia de la contratación</t>
        </r>
      </text>
    </comment>
    <comment ref="B2637" authorId="2">
      <text>
        <r>
          <rPr>
            <sz val="11"/>
            <color theme="1"/>
            <rFont val="Calibri"/>
            <family val="2"/>
            <scheme val="minor"/>
          </rPr>
          <t>Introduzca un texto con la finalidad de la contratación</t>
        </r>
      </text>
    </comment>
    <comment ref="C2637" authorId="2">
      <text>
        <r>
          <rPr>
            <sz val="11"/>
            <color theme="1"/>
            <rFont val="Calibri"/>
            <family val="2"/>
            <scheme val="minor"/>
          </rPr>
          <t>Seleccionar un valor del listado</t>
        </r>
      </text>
    </comment>
    <comment ref="D2637" authorId="2">
      <text>
        <r>
          <rPr>
            <sz val="11"/>
            <color theme="1"/>
            <rFont val="Calibri"/>
            <family val="2"/>
            <scheme val="minor"/>
          </rPr>
          <t>Seleccione el tipo de procedimiento</t>
        </r>
      </text>
    </comment>
    <comment ref="E2637" authorId="2">
      <text>
        <r>
          <rPr>
            <sz val="11"/>
            <color theme="1"/>
            <rFont val="Calibri"/>
            <family val="2"/>
            <scheme val="minor"/>
          </rPr>
          <t>Seleccione un valor de la lista</t>
        </r>
      </text>
    </comment>
    <comment ref="F2637" authorId="2">
      <text>
        <r>
          <rPr>
            <sz val="11"/>
            <color theme="1"/>
            <rFont val="Calibri"/>
            <family val="2"/>
            <scheme val="minor"/>
          </rPr>
          <t>Introduzca el código SNIP</t>
        </r>
      </text>
    </comment>
    <comment ref="C2638" authorId="2">
      <text>
        <r>
          <rPr>
            <sz val="11"/>
            <color theme="1"/>
            <rFont val="Calibri"/>
            <family val="2"/>
            <scheme val="minor"/>
          </rPr>
          <t>Introduzca la fecha de inicio del proceso, en formato dd-mm-aaaa</t>
        </r>
      </text>
    </comment>
    <comment ref="F26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9" authorId="2">
      <text/>
    </comment>
    <comment ref="C2640" authorId="2">
      <text>
        <r>
          <rPr>
            <sz val="11"/>
            <color theme="1"/>
            <rFont val="Calibri"/>
            <family val="2"/>
            <scheme val="minor"/>
          </rPr>
          <t>Introduzca la fecha prevista de adjudicación, en formato dd-mm-aaaa</t>
        </r>
      </text>
    </comment>
    <comment ref="F2640" authorId="2">
      <text/>
    </comment>
    <comment ref="F2641" authorId="2">
      <text/>
    </comment>
    <comment ref="A2643" authorId="2">
      <text>
        <r>
          <rPr>
            <sz val="11"/>
            <color theme="1"/>
            <rFont val="Calibri"/>
            <family val="2"/>
            <scheme val="minor"/>
          </rPr>
          <t>Introduzca un codigo UNSPSC</t>
        </r>
      </text>
    </comment>
    <comment ref="B2643" authorId="2">
      <text>
        <r>
          <rPr>
            <sz val="11"/>
            <color theme="1"/>
            <rFont val="Calibri"/>
            <family val="2"/>
            <scheme val="minor"/>
          </rPr>
          <t>Descripción calculada automáticamente a partir de código del artículo</t>
        </r>
      </text>
    </comment>
    <comment ref="C2643" authorId="2">
      <text>
        <r>
          <rPr>
            <sz val="11"/>
            <color theme="1"/>
            <rFont val="Calibri"/>
            <family val="2"/>
            <scheme val="minor"/>
          </rPr>
          <t>Seleccione un valor de la lista</t>
        </r>
      </text>
    </comment>
    <comment ref="D2643" authorId="2">
      <text>
        <r>
          <rPr>
            <sz val="11"/>
            <color theme="1"/>
            <rFont val="Calibri"/>
            <family val="2"/>
            <scheme val="minor"/>
          </rPr>
          <t>Introduzca un número con dos decimales como máximo. Debe ser igual o mayor a la "Cantidad Real Consumida"</t>
        </r>
      </text>
    </comment>
    <comment ref="E2643" authorId="2">
      <text>
        <r>
          <rPr>
            <sz val="11"/>
            <color theme="1"/>
            <rFont val="Calibri"/>
            <family val="2"/>
            <scheme val="minor"/>
          </rPr>
          <t>Introduzca un número con dos decimales como máximo</t>
        </r>
      </text>
    </comment>
    <comment ref="F2643" authorId="2">
      <text>
        <r>
          <rPr>
            <sz val="11"/>
            <color theme="1"/>
            <rFont val="Calibri"/>
            <family val="2"/>
            <scheme val="minor"/>
          </rPr>
          <t>Monto calculado automáticamente por el sistema</t>
        </r>
      </text>
    </comment>
    <comment ref="A2649" authorId="2">
      <text>
        <r>
          <rPr>
            <sz val="11"/>
            <color theme="1"/>
            <rFont val="Calibri"/>
            <family val="2"/>
            <scheme val="minor"/>
          </rPr>
          <t>Introducir un texto con el nombre o referencia de la contratación</t>
        </r>
      </text>
    </comment>
    <comment ref="B2649" authorId="2">
      <text>
        <r>
          <rPr>
            <sz val="11"/>
            <color theme="1"/>
            <rFont val="Calibri"/>
            <family val="2"/>
            <scheme val="minor"/>
          </rPr>
          <t>Introduzca un texto con la finalidad de la contratación</t>
        </r>
      </text>
    </comment>
    <comment ref="C2649" authorId="2">
      <text>
        <r>
          <rPr>
            <sz val="11"/>
            <color theme="1"/>
            <rFont val="Calibri"/>
            <family val="2"/>
            <scheme val="minor"/>
          </rPr>
          <t>Seleccionar un valor del listado</t>
        </r>
      </text>
    </comment>
    <comment ref="D2649" authorId="2">
      <text>
        <r>
          <rPr>
            <sz val="11"/>
            <color theme="1"/>
            <rFont val="Calibri"/>
            <family val="2"/>
            <scheme val="minor"/>
          </rPr>
          <t>Seleccione el tipo de procedimiento</t>
        </r>
      </text>
    </comment>
    <comment ref="E2649" authorId="2">
      <text>
        <r>
          <rPr>
            <sz val="11"/>
            <color theme="1"/>
            <rFont val="Calibri"/>
            <family val="2"/>
            <scheme val="minor"/>
          </rPr>
          <t>Seleccione un valor de la lista</t>
        </r>
      </text>
    </comment>
    <comment ref="F2649" authorId="2">
      <text>
        <r>
          <rPr>
            <sz val="11"/>
            <color theme="1"/>
            <rFont val="Calibri"/>
            <family val="2"/>
            <scheme val="minor"/>
          </rPr>
          <t>Introduzca el código SNIP</t>
        </r>
      </text>
    </comment>
    <comment ref="C2650" authorId="2">
      <text>
        <r>
          <rPr>
            <sz val="11"/>
            <color theme="1"/>
            <rFont val="Calibri"/>
            <family val="2"/>
            <scheme val="minor"/>
          </rPr>
          <t>Introduzca la fecha de inicio del proceso, en formato dd-mm-aaaa</t>
        </r>
      </text>
    </comment>
    <comment ref="F26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1" authorId="2">
      <text/>
    </comment>
    <comment ref="C2652" authorId="2">
      <text>
        <r>
          <rPr>
            <sz val="11"/>
            <color theme="1"/>
            <rFont val="Calibri"/>
            <family val="2"/>
            <scheme val="minor"/>
          </rPr>
          <t>Introduzca la fecha prevista de adjudicación, en formato dd-mm-aaaa</t>
        </r>
      </text>
    </comment>
    <comment ref="F2652" authorId="2">
      <text/>
    </comment>
    <comment ref="F2653" authorId="2">
      <text/>
    </comment>
    <comment ref="A2655" authorId="2">
      <text>
        <r>
          <rPr>
            <sz val="11"/>
            <color theme="1"/>
            <rFont val="Calibri"/>
            <family val="2"/>
            <scheme val="minor"/>
          </rPr>
          <t>Introduzca un codigo UNSPSC</t>
        </r>
      </text>
    </comment>
    <comment ref="B2655" authorId="2">
      <text>
        <r>
          <rPr>
            <sz val="11"/>
            <color theme="1"/>
            <rFont val="Calibri"/>
            <family val="2"/>
            <scheme val="minor"/>
          </rPr>
          <t>Descripción calculada automáticamente a partir de código del artículo</t>
        </r>
      </text>
    </comment>
    <comment ref="C2655" authorId="2">
      <text>
        <r>
          <rPr>
            <sz val="11"/>
            <color theme="1"/>
            <rFont val="Calibri"/>
            <family val="2"/>
            <scheme val="minor"/>
          </rPr>
          <t>Seleccione un valor de la lista</t>
        </r>
      </text>
    </comment>
    <comment ref="D2655" authorId="2">
      <text>
        <r>
          <rPr>
            <sz val="11"/>
            <color theme="1"/>
            <rFont val="Calibri"/>
            <family val="2"/>
            <scheme val="minor"/>
          </rPr>
          <t>Introduzca un número con dos decimales como máximo. Debe ser igual o mayor a la "Cantidad Real Consumida"</t>
        </r>
      </text>
    </comment>
    <comment ref="E2655" authorId="2">
      <text>
        <r>
          <rPr>
            <sz val="11"/>
            <color theme="1"/>
            <rFont val="Calibri"/>
            <family val="2"/>
            <scheme val="minor"/>
          </rPr>
          <t>Introduzca un número con dos decimales como máximo</t>
        </r>
      </text>
    </comment>
    <comment ref="F2655" authorId="2">
      <text>
        <r>
          <rPr>
            <sz val="11"/>
            <color theme="1"/>
            <rFont val="Calibri"/>
            <family val="2"/>
            <scheme val="minor"/>
          </rPr>
          <t>Monto calculado automáticamente por el sistema</t>
        </r>
      </text>
    </comment>
    <comment ref="A2660" authorId="2">
      <text>
        <r>
          <rPr>
            <sz val="11"/>
            <color theme="1"/>
            <rFont val="Calibri"/>
            <family val="2"/>
            <scheme val="minor"/>
          </rPr>
          <t>Introducir un texto con el nombre o referencia de la contratación</t>
        </r>
      </text>
    </comment>
    <comment ref="B2660" authorId="2">
      <text>
        <r>
          <rPr>
            <sz val="11"/>
            <color theme="1"/>
            <rFont val="Calibri"/>
            <family val="2"/>
            <scheme val="minor"/>
          </rPr>
          <t>Introduzca un texto con la finalidad de la contratación</t>
        </r>
      </text>
    </comment>
    <comment ref="C2660" authorId="2">
      <text>
        <r>
          <rPr>
            <sz val="11"/>
            <color theme="1"/>
            <rFont val="Calibri"/>
            <family val="2"/>
            <scheme val="minor"/>
          </rPr>
          <t>Seleccionar un valor del listado</t>
        </r>
      </text>
    </comment>
    <comment ref="D2660" authorId="2">
      <text>
        <r>
          <rPr>
            <sz val="11"/>
            <color theme="1"/>
            <rFont val="Calibri"/>
            <family val="2"/>
            <scheme val="minor"/>
          </rPr>
          <t>Seleccione el tipo de procedimiento</t>
        </r>
      </text>
    </comment>
    <comment ref="E2660" authorId="2">
      <text>
        <r>
          <rPr>
            <sz val="11"/>
            <color theme="1"/>
            <rFont val="Calibri"/>
            <family val="2"/>
            <scheme val="minor"/>
          </rPr>
          <t>Seleccione un valor de la lista</t>
        </r>
      </text>
    </comment>
    <comment ref="F2660" authorId="2">
      <text>
        <r>
          <rPr>
            <sz val="11"/>
            <color theme="1"/>
            <rFont val="Calibri"/>
            <family val="2"/>
            <scheme val="minor"/>
          </rPr>
          <t>Introduzca el código SNIP</t>
        </r>
      </text>
    </comment>
    <comment ref="C2661" authorId="2">
      <text>
        <r>
          <rPr>
            <sz val="11"/>
            <color theme="1"/>
            <rFont val="Calibri"/>
            <family val="2"/>
            <scheme val="minor"/>
          </rPr>
          <t>Introduzca la fecha de inicio del proceso, en formato dd-mm-aaaa</t>
        </r>
      </text>
    </comment>
    <comment ref="F26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2" authorId="2">
      <text/>
    </comment>
    <comment ref="C2663" authorId="2">
      <text>
        <r>
          <rPr>
            <sz val="11"/>
            <color theme="1"/>
            <rFont val="Calibri"/>
            <family val="2"/>
            <scheme val="minor"/>
          </rPr>
          <t>Introduzca la fecha prevista de adjudicación, en formato dd-mm-aaaa</t>
        </r>
      </text>
    </comment>
    <comment ref="F2663" authorId="2">
      <text/>
    </comment>
    <comment ref="F2664" authorId="2">
      <text/>
    </comment>
    <comment ref="A2666" authorId="2">
      <text>
        <r>
          <rPr>
            <sz val="11"/>
            <color theme="1"/>
            <rFont val="Calibri"/>
            <family val="2"/>
            <scheme val="minor"/>
          </rPr>
          <t>Introduzca un codigo UNSPSC</t>
        </r>
      </text>
    </comment>
    <comment ref="B2666" authorId="2">
      <text>
        <r>
          <rPr>
            <sz val="11"/>
            <color theme="1"/>
            <rFont val="Calibri"/>
            <family val="2"/>
            <scheme val="minor"/>
          </rPr>
          <t>Descripción calculada automáticamente a partir de código del artículo</t>
        </r>
      </text>
    </comment>
    <comment ref="C2666" authorId="2">
      <text>
        <r>
          <rPr>
            <sz val="11"/>
            <color theme="1"/>
            <rFont val="Calibri"/>
            <family val="2"/>
            <scheme val="minor"/>
          </rPr>
          <t>Seleccione un valor de la lista</t>
        </r>
      </text>
    </comment>
    <comment ref="D2666" authorId="2">
      <text>
        <r>
          <rPr>
            <sz val="11"/>
            <color theme="1"/>
            <rFont val="Calibri"/>
            <family val="2"/>
            <scheme val="minor"/>
          </rPr>
          <t>Introduzca un número con dos decimales como máximo. Debe ser igual o mayor a la "Cantidad Real Consumida"</t>
        </r>
      </text>
    </comment>
    <comment ref="E2666" authorId="2">
      <text>
        <r>
          <rPr>
            <sz val="11"/>
            <color theme="1"/>
            <rFont val="Calibri"/>
            <family val="2"/>
            <scheme val="minor"/>
          </rPr>
          <t>Introduzca un número con dos decimales como máximo</t>
        </r>
      </text>
    </comment>
    <comment ref="F2666" authorId="2">
      <text>
        <r>
          <rPr>
            <sz val="11"/>
            <color theme="1"/>
            <rFont val="Calibri"/>
            <family val="2"/>
            <scheme val="minor"/>
          </rPr>
          <t>Monto calculado automáticamente por el sistema</t>
        </r>
      </text>
    </comment>
    <comment ref="A2671" authorId="2">
      <text>
        <r>
          <rPr>
            <sz val="11"/>
            <color theme="1"/>
            <rFont val="Calibri"/>
            <family val="2"/>
            <scheme val="minor"/>
          </rPr>
          <t>Introducir un texto con el nombre o referencia de la contratación</t>
        </r>
      </text>
    </comment>
    <comment ref="B2671" authorId="2">
      <text>
        <r>
          <rPr>
            <sz val="11"/>
            <color theme="1"/>
            <rFont val="Calibri"/>
            <family val="2"/>
            <scheme val="minor"/>
          </rPr>
          <t>Introduzca un texto con la finalidad de la contratación</t>
        </r>
      </text>
    </comment>
    <comment ref="C2671" authorId="2">
      <text>
        <r>
          <rPr>
            <sz val="11"/>
            <color theme="1"/>
            <rFont val="Calibri"/>
            <family val="2"/>
            <scheme val="minor"/>
          </rPr>
          <t>Seleccionar un valor del listado</t>
        </r>
      </text>
    </comment>
    <comment ref="D2671" authorId="2">
      <text>
        <r>
          <rPr>
            <sz val="11"/>
            <color theme="1"/>
            <rFont val="Calibri"/>
            <family val="2"/>
            <scheme val="minor"/>
          </rPr>
          <t>Seleccione el tipo de procedimiento</t>
        </r>
      </text>
    </comment>
    <comment ref="E2671" authorId="2">
      <text>
        <r>
          <rPr>
            <sz val="11"/>
            <color theme="1"/>
            <rFont val="Calibri"/>
            <family val="2"/>
            <scheme val="minor"/>
          </rPr>
          <t>Seleccione un valor de la lista</t>
        </r>
      </text>
    </comment>
    <comment ref="F2671" authorId="2">
      <text>
        <r>
          <rPr>
            <sz val="11"/>
            <color theme="1"/>
            <rFont val="Calibri"/>
            <family val="2"/>
            <scheme val="minor"/>
          </rPr>
          <t>Introduzca el código SNIP</t>
        </r>
      </text>
    </comment>
    <comment ref="C2672" authorId="2">
      <text>
        <r>
          <rPr>
            <sz val="11"/>
            <color theme="1"/>
            <rFont val="Calibri"/>
            <family val="2"/>
            <scheme val="minor"/>
          </rPr>
          <t>Introduzca la fecha de inicio del proceso, en formato dd-mm-aaaa</t>
        </r>
      </text>
    </comment>
    <comment ref="F26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3" authorId="2">
      <text/>
    </comment>
    <comment ref="C2674" authorId="2">
      <text>
        <r>
          <rPr>
            <sz val="11"/>
            <color theme="1"/>
            <rFont val="Calibri"/>
            <family val="2"/>
            <scheme val="minor"/>
          </rPr>
          <t>Introduzca la fecha prevista de adjudicación, en formato dd-mm-aaaa</t>
        </r>
      </text>
    </comment>
    <comment ref="F2674" authorId="2">
      <text/>
    </comment>
    <comment ref="F2675" authorId="2">
      <text/>
    </comment>
    <comment ref="A2677" authorId="2">
      <text>
        <r>
          <rPr>
            <sz val="11"/>
            <color theme="1"/>
            <rFont val="Calibri"/>
            <family val="2"/>
            <scheme val="minor"/>
          </rPr>
          <t>Introduzca un codigo UNSPSC</t>
        </r>
      </text>
    </comment>
    <comment ref="B2677" authorId="2">
      <text>
        <r>
          <rPr>
            <sz val="11"/>
            <color theme="1"/>
            <rFont val="Calibri"/>
            <family val="2"/>
            <scheme val="minor"/>
          </rPr>
          <t>Descripción calculada automáticamente a partir de código del artículo</t>
        </r>
      </text>
    </comment>
    <comment ref="C2677" authorId="2">
      <text>
        <r>
          <rPr>
            <sz val="11"/>
            <color theme="1"/>
            <rFont val="Calibri"/>
            <family val="2"/>
            <scheme val="minor"/>
          </rPr>
          <t>Seleccione un valor de la lista</t>
        </r>
      </text>
    </comment>
    <comment ref="D2677" authorId="2">
      <text>
        <r>
          <rPr>
            <sz val="11"/>
            <color theme="1"/>
            <rFont val="Calibri"/>
            <family val="2"/>
            <scheme val="minor"/>
          </rPr>
          <t>Introduzca un número con dos decimales como máximo. Debe ser igual o mayor a la "Cantidad Real Consumida"</t>
        </r>
      </text>
    </comment>
    <comment ref="E2677" authorId="2">
      <text>
        <r>
          <rPr>
            <sz val="11"/>
            <color theme="1"/>
            <rFont val="Calibri"/>
            <family val="2"/>
            <scheme val="minor"/>
          </rPr>
          <t>Introduzca un número con dos decimales como máximo</t>
        </r>
      </text>
    </comment>
    <comment ref="F2677" authorId="2">
      <text>
        <r>
          <rPr>
            <sz val="11"/>
            <color theme="1"/>
            <rFont val="Calibri"/>
            <family val="2"/>
            <scheme val="minor"/>
          </rPr>
          <t>Monto calculado automáticamente por el sistema</t>
        </r>
      </text>
    </comment>
    <comment ref="A2682" authorId="2">
      <text>
        <r>
          <rPr>
            <sz val="11"/>
            <color theme="1"/>
            <rFont val="Calibri"/>
            <family val="2"/>
            <scheme val="minor"/>
          </rPr>
          <t>Introducir un texto con el nombre o referencia de la contratación</t>
        </r>
      </text>
    </comment>
    <comment ref="B2682" authorId="2">
      <text>
        <r>
          <rPr>
            <sz val="11"/>
            <color theme="1"/>
            <rFont val="Calibri"/>
            <family val="2"/>
            <scheme val="minor"/>
          </rPr>
          <t>Introduzca un texto con la finalidad de la contratación</t>
        </r>
      </text>
    </comment>
    <comment ref="C2682" authorId="2">
      <text>
        <r>
          <rPr>
            <sz val="11"/>
            <color theme="1"/>
            <rFont val="Calibri"/>
            <family val="2"/>
            <scheme val="minor"/>
          </rPr>
          <t>Seleccionar un valor del listado</t>
        </r>
      </text>
    </comment>
    <comment ref="D2682" authorId="2">
      <text>
        <r>
          <rPr>
            <sz val="11"/>
            <color theme="1"/>
            <rFont val="Calibri"/>
            <family val="2"/>
            <scheme val="minor"/>
          </rPr>
          <t>Seleccione el tipo de procedimiento</t>
        </r>
      </text>
    </comment>
    <comment ref="E2682" authorId="2">
      <text>
        <r>
          <rPr>
            <sz val="11"/>
            <color theme="1"/>
            <rFont val="Calibri"/>
            <family val="2"/>
            <scheme val="minor"/>
          </rPr>
          <t>Seleccione un valor de la lista</t>
        </r>
      </text>
    </comment>
    <comment ref="F2682" authorId="2">
      <text>
        <r>
          <rPr>
            <sz val="11"/>
            <color theme="1"/>
            <rFont val="Calibri"/>
            <family val="2"/>
            <scheme val="minor"/>
          </rPr>
          <t>Introduzca el código SNIP</t>
        </r>
      </text>
    </comment>
    <comment ref="C2683" authorId="2">
      <text>
        <r>
          <rPr>
            <sz val="11"/>
            <color theme="1"/>
            <rFont val="Calibri"/>
            <family val="2"/>
            <scheme val="minor"/>
          </rPr>
          <t>Introduzca la fecha de inicio del proceso, en formato dd-mm-aaaa</t>
        </r>
      </text>
    </comment>
    <comment ref="F26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4" authorId="2">
      <text/>
    </comment>
    <comment ref="C2685" authorId="2">
      <text>
        <r>
          <rPr>
            <sz val="11"/>
            <color theme="1"/>
            <rFont val="Calibri"/>
            <family val="2"/>
            <scheme val="minor"/>
          </rPr>
          <t>Introduzca la fecha prevista de adjudicación, en formato dd-mm-aaaa</t>
        </r>
      </text>
    </comment>
    <comment ref="F2685" authorId="2">
      <text/>
    </comment>
    <comment ref="F2686" authorId="2">
      <text/>
    </comment>
    <comment ref="A2688" authorId="2">
      <text>
        <r>
          <rPr>
            <sz val="11"/>
            <color theme="1"/>
            <rFont val="Calibri"/>
            <family val="2"/>
            <scheme val="minor"/>
          </rPr>
          <t>Introduzca un codigo UNSPSC</t>
        </r>
      </text>
    </comment>
    <comment ref="B2688" authorId="2">
      <text>
        <r>
          <rPr>
            <sz val="11"/>
            <color theme="1"/>
            <rFont val="Calibri"/>
            <family val="2"/>
            <scheme val="minor"/>
          </rPr>
          <t>Descripción calculada automáticamente a partir de código del artículo</t>
        </r>
      </text>
    </comment>
    <comment ref="C2688" authorId="2">
      <text>
        <r>
          <rPr>
            <sz val="11"/>
            <color theme="1"/>
            <rFont val="Calibri"/>
            <family val="2"/>
            <scheme val="minor"/>
          </rPr>
          <t>Seleccione un valor de la lista</t>
        </r>
      </text>
    </comment>
    <comment ref="D2688" authorId="2">
      <text>
        <r>
          <rPr>
            <sz val="11"/>
            <color theme="1"/>
            <rFont val="Calibri"/>
            <family val="2"/>
            <scheme val="minor"/>
          </rPr>
          <t>Introduzca un número con dos decimales como máximo. Debe ser igual o mayor a la "Cantidad Real Consumida"</t>
        </r>
      </text>
    </comment>
    <comment ref="E2688" authorId="2">
      <text>
        <r>
          <rPr>
            <sz val="11"/>
            <color theme="1"/>
            <rFont val="Calibri"/>
            <family val="2"/>
            <scheme val="minor"/>
          </rPr>
          <t>Introduzca un número con dos decimales como máximo</t>
        </r>
      </text>
    </comment>
    <comment ref="F2688" authorId="2">
      <text>
        <r>
          <rPr>
            <sz val="11"/>
            <color theme="1"/>
            <rFont val="Calibri"/>
            <family val="2"/>
            <scheme val="minor"/>
          </rPr>
          <t>Monto calculado automáticamente por el sistema</t>
        </r>
      </text>
    </comment>
    <comment ref="A2693" authorId="2">
      <text>
        <r>
          <rPr>
            <sz val="11"/>
            <color theme="1"/>
            <rFont val="Calibri"/>
            <family val="2"/>
            <scheme val="minor"/>
          </rPr>
          <t>Introducir un texto con el nombre o referencia de la contratación</t>
        </r>
      </text>
    </comment>
    <comment ref="B2693" authorId="2">
      <text>
        <r>
          <rPr>
            <sz val="11"/>
            <color theme="1"/>
            <rFont val="Calibri"/>
            <family val="2"/>
            <scheme val="minor"/>
          </rPr>
          <t>Introduzca un texto con la finalidad de la contratación</t>
        </r>
      </text>
    </comment>
    <comment ref="C2693" authorId="2">
      <text>
        <r>
          <rPr>
            <sz val="11"/>
            <color theme="1"/>
            <rFont val="Calibri"/>
            <family val="2"/>
            <scheme val="minor"/>
          </rPr>
          <t>Seleccionar un valor del listado</t>
        </r>
      </text>
    </comment>
    <comment ref="D2693" authorId="2">
      <text>
        <r>
          <rPr>
            <sz val="11"/>
            <color theme="1"/>
            <rFont val="Calibri"/>
            <family val="2"/>
            <scheme val="minor"/>
          </rPr>
          <t>Seleccione el tipo de procedimiento</t>
        </r>
      </text>
    </comment>
    <comment ref="E2693" authorId="2">
      <text>
        <r>
          <rPr>
            <sz val="11"/>
            <color theme="1"/>
            <rFont val="Calibri"/>
            <family val="2"/>
            <scheme val="minor"/>
          </rPr>
          <t>Seleccione un valor de la lista</t>
        </r>
      </text>
    </comment>
    <comment ref="F2693" authorId="2">
      <text>
        <r>
          <rPr>
            <sz val="11"/>
            <color theme="1"/>
            <rFont val="Calibri"/>
            <family val="2"/>
            <scheme val="minor"/>
          </rPr>
          <t>Introduzca el código SNIP</t>
        </r>
      </text>
    </comment>
    <comment ref="C2694" authorId="2">
      <text>
        <r>
          <rPr>
            <sz val="11"/>
            <color theme="1"/>
            <rFont val="Calibri"/>
            <family val="2"/>
            <scheme val="minor"/>
          </rPr>
          <t>Introduzca la fecha de inicio del proceso, en formato dd-mm-aaaa</t>
        </r>
      </text>
    </comment>
    <comment ref="F26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2">
      <text/>
    </comment>
    <comment ref="C2696" authorId="2">
      <text>
        <r>
          <rPr>
            <sz val="11"/>
            <color theme="1"/>
            <rFont val="Calibri"/>
            <family val="2"/>
            <scheme val="minor"/>
          </rPr>
          <t>Introduzca la fecha prevista de adjudicación, en formato dd-mm-aaaa</t>
        </r>
      </text>
    </comment>
    <comment ref="F2696" authorId="2">
      <text/>
    </comment>
    <comment ref="F2697" authorId="2">
      <text/>
    </comment>
    <comment ref="A2699" authorId="2">
      <text>
        <r>
          <rPr>
            <sz val="11"/>
            <color theme="1"/>
            <rFont val="Calibri"/>
            <family val="2"/>
            <scheme val="minor"/>
          </rPr>
          <t>Introduzca un codigo UNSPSC</t>
        </r>
      </text>
    </comment>
    <comment ref="B2699" authorId="2">
      <text>
        <r>
          <rPr>
            <sz val="11"/>
            <color theme="1"/>
            <rFont val="Calibri"/>
            <family val="2"/>
            <scheme val="minor"/>
          </rPr>
          <t>Descripción calculada automáticamente a partir de código del artículo</t>
        </r>
      </text>
    </comment>
    <comment ref="C2699" authorId="2">
      <text>
        <r>
          <rPr>
            <sz val="11"/>
            <color theme="1"/>
            <rFont val="Calibri"/>
            <family val="2"/>
            <scheme val="minor"/>
          </rPr>
          <t>Seleccione un valor de la lista</t>
        </r>
      </text>
    </comment>
    <comment ref="D2699" authorId="2">
      <text>
        <r>
          <rPr>
            <sz val="11"/>
            <color theme="1"/>
            <rFont val="Calibri"/>
            <family val="2"/>
            <scheme val="minor"/>
          </rPr>
          <t>Introduzca un número con dos decimales como máximo. Debe ser igual o mayor a la "Cantidad Real Consumida"</t>
        </r>
      </text>
    </comment>
    <comment ref="E2699" authorId="2">
      <text>
        <r>
          <rPr>
            <sz val="11"/>
            <color theme="1"/>
            <rFont val="Calibri"/>
            <family val="2"/>
            <scheme val="minor"/>
          </rPr>
          <t>Introduzca un número con dos decimales como máximo</t>
        </r>
      </text>
    </comment>
    <comment ref="F2699" authorId="2">
      <text>
        <r>
          <rPr>
            <sz val="11"/>
            <color theme="1"/>
            <rFont val="Calibri"/>
            <family val="2"/>
            <scheme val="minor"/>
          </rPr>
          <t>Monto calculado automáticamente por el sistema</t>
        </r>
      </text>
    </comment>
    <comment ref="A2704" authorId="2">
      <text>
        <r>
          <rPr>
            <sz val="11"/>
            <color theme="1"/>
            <rFont val="Calibri"/>
            <family val="2"/>
            <scheme val="minor"/>
          </rPr>
          <t>Introducir un texto con el nombre o referencia de la contratación</t>
        </r>
      </text>
    </comment>
    <comment ref="B2704" authorId="2">
      <text>
        <r>
          <rPr>
            <sz val="11"/>
            <color theme="1"/>
            <rFont val="Calibri"/>
            <family val="2"/>
            <scheme val="minor"/>
          </rPr>
          <t>Introduzca un texto con la finalidad de la contratación</t>
        </r>
      </text>
    </comment>
    <comment ref="C2704" authorId="2">
      <text>
        <r>
          <rPr>
            <sz val="11"/>
            <color theme="1"/>
            <rFont val="Calibri"/>
            <family val="2"/>
            <scheme val="minor"/>
          </rPr>
          <t>Seleccionar un valor del listado</t>
        </r>
      </text>
    </comment>
    <comment ref="D2704" authorId="2">
      <text>
        <r>
          <rPr>
            <sz val="11"/>
            <color theme="1"/>
            <rFont val="Calibri"/>
            <family val="2"/>
            <scheme val="minor"/>
          </rPr>
          <t>Seleccione el tipo de procedimiento</t>
        </r>
      </text>
    </comment>
    <comment ref="E2704" authorId="2">
      <text>
        <r>
          <rPr>
            <sz val="11"/>
            <color theme="1"/>
            <rFont val="Calibri"/>
            <family val="2"/>
            <scheme val="minor"/>
          </rPr>
          <t>Seleccione un valor de la lista</t>
        </r>
      </text>
    </comment>
    <comment ref="F2704" authorId="2">
      <text>
        <r>
          <rPr>
            <sz val="11"/>
            <color theme="1"/>
            <rFont val="Calibri"/>
            <family val="2"/>
            <scheme val="minor"/>
          </rPr>
          <t>Introduzca el código SNIP</t>
        </r>
      </text>
    </comment>
    <comment ref="C2705" authorId="2">
      <text>
        <r>
          <rPr>
            <sz val="11"/>
            <color theme="1"/>
            <rFont val="Calibri"/>
            <family val="2"/>
            <scheme val="minor"/>
          </rPr>
          <t>Introduzca la fecha de inicio del proceso, en formato dd-mm-aaaa</t>
        </r>
      </text>
    </comment>
    <comment ref="F27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6" authorId="2">
      <text/>
    </comment>
    <comment ref="C2707" authorId="2">
      <text>
        <r>
          <rPr>
            <sz val="11"/>
            <color theme="1"/>
            <rFont val="Calibri"/>
            <family val="2"/>
            <scheme val="minor"/>
          </rPr>
          <t>Introduzca la fecha prevista de adjudicación, en formato dd-mm-aaaa</t>
        </r>
      </text>
    </comment>
    <comment ref="F2707" authorId="2">
      <text/>
    </comment>
    <comment ref="F2708" authorId="2">
      <text/>
    </comment>
    <comment ref="A2710" authorId="2">
      <text>
        <r>
          <rPr>
            <sz val="11"/>
            <color theme="1"/>
            <rFont val="Calibri"/>
            <family val="2"/>
            <scheme val="minor"/>
          </rPr>
          <t>Introduzca un codigo UNSPSC</t>
        </r>
      </text>
    </comment>
    <comment ref="B2710" authorId="2">
      <text>
        <r>
          <rPr>
            <sz val="11"/>
            <color theme="1"/>
            <rFont val="Calibri"/>
            <family val="2"/>
            <scheme val="minor"/>
          </rPr>
          <t>Descripción calculada automáticamente a partir de código del artículo</t>
        </r>
      </text>
    </comment>
    <comment ref="C2710" authorId="2">
      <text>
        <r>
          <rPr>
            <sz val="11"/>
            <color theme="1"/>
            <rFont val="Calibri"/>
            <family val="2"/>
            <scheme val="minor"/>
          </rPr>
          <t>Seleccione un valor de la lista</t>
        </r>
      </text>
    </comment>
    <comment ref="D2710" authorId="2">
      <text>
        <r>
          <rPr>
            <sz val="11"/>
            <color theme="1"/>
            <rFont val="Calibri"/>
            <family val="2"/>
            <scheme val="minor"/>
          </rPr>
          <t>Introduzca un número con dos decimales como máximo. Debe ser igual o mayor a la "Cantidad Real Consumida"</t>
        </r>
      </text>
    </comment>
    <comment ref="E2710" authorId="2">
      <text>
        <r>
          <rPr>
            <sz val="11"/>
            <color theme="1"/>
            <rFont val="Calibri"/>
            <family val="2"/>
            <scheme val="minor"/>
          </rPr>
          <t>Introduzca un número con dos decimales como máximo</t>
        </r>
      </text>
    </comment>
    <comment ref="F2710" authorId="2">
      <text>
        <r>
          <rPr>
            <sz val="11"/>
            <color theme="1"/>
            <rFont val="Calibri"/>
            <family val="2"/>
            <scheme val="minor"/>
          </rPr>
          <t>Monto calculado automáticamente por el sistema</t>
        </r>
      </text>
    </comment>
    <comment ref="A2716" authorId="2">
      <text>
        <r>
          <rPr>
            <sz val="11"/>
            <color theme="1"/>
            <rFont val="Calibri"/>
            <family val="2"/>
            <scheme val="minor"/>
          </rPr>
          <t>Introducir un texto con el nombre o referencia de la contratación</t>
        </r>
      </text>
    </comment>
    <comment ref="B2716" authorId="2">
      <text>
        <r>
          <rPr>
            <sz val="11"/>
            <color theme="1"/>
            <rFont val="Calibri"/>
            <family val="2"/>
            <scheme val="minor"/>
          </rPr>
          <t>Introduzca un texto con la finalidad de la contratación</t>
        </r>
      </text>
    </comment>
    <comment ref="C2716" authorId="2">
      <text>
        <r>
          <rPr>
            <sz val="11"/>
            <color theme="1"/>
            <rFont val="Calibri"/>
            <family val="2"/>
            <scheme val="minor"/>
          </rPr>
          <t>Seleccionar un valor del listado</t>
        </r>
      </text>
    </comment>
    <comment ref="D2716" authorId="2">
      <text>
        <r>
          <rPr>
            <sz val="11"/>
            <color theme="1"/>
            <rFont val="Calibri"/>
            <family val="2"/>
            <scheme val="minor"/>
          </rPr>
          <t>Seleccione el tipo de procedimiento</t>
        </r>
      </text>
    </comment>
    <comment ref="E2716" authorId="2">
      <text>
        <r>
          <rPr>
            <sz val="11"/>
            <color theme="1"/>
            <rFont val="Calibri"/>
            <family val="2"/>
            <scheme val="minor"/>
          </rPr>
          <t>Seleccione un valor de la lista</t>
        </r>
      </text>
    </comment>
    <comment ref="F2716" authorId="2">
      <text>
        <r>
          <rPr>
            <sz val="11"/>
            <color theme="1"/>
            <rFont val="Calibri"/>
            <family val="2"/>
            <scheme val="minor"/>
          </rPr>
          <t>Introduzca el código SNIP</t>
        </r>
      </text>
    </comment>
    <comment ref="C2717" authorId="2">
      <text>
        <r>
          <rPr>
            <sz val="11"/>
            <color theme="1"/>
            <rFont val="Calibri"/>
            <family val="2"/>
            <scheme val="minor"/>
          </rPr>
          <t>Introduzca la fecha de inicio del proceso, en formato dd-mm-aaaa</t>
        </r>
      </text>
    </comment>
    <comment ref="F27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8" authorId="2">
      <text/>
    </comment>
    <comment ref="C2719" authorId="2">
      <text>
        <r>
          <rPr>
            <sz val="11"/>
            <color theme="1"/>
            <rFont val="Calibri"/>
            <family val="2"/>
            <scheme val="minor"/>
          </rPr>
          <t>Introduzca la fecha prevista de adjudicación, en formato dd-mm-aaaa</t>
        </r>
      </text>
    </comment>
    <comment ref="F2719" authorId="2">
      <text/>
    </comment>
    <comment ref="F2720" authorId="2">
      <text/>
    </comment>
    <comment ref="A2722" authorId="2">
      <text>
        <r>
          <rPr>
            <sz val="11"/>
            <color theme="1"/>
            <rFont val="Calibri"/>
            <family val="2"/>
            <scheme val="minor"/>
          </rPr>
          <t>Introduzca un codigo UNSPSC</t>
        </r>
      </text>
    </comment>
    <comment ref="B2722" authorId="2">
      <text>
        <r>
          <rPr>
            <sz val="11"/>
            <color theme="1"/>
            <rFont val="Calibri"/>
            <family val="2"/>
            <scheme val="minor"/>
          </rPr>
          <t>Descripción calculada automáticamente a partir de código del artículo</t>
        </r>
      </text>
    </comment>
    <comment ref="C2722" authorId="2">
      <text>
        <r>
          <rPr>
            <sz val="11"/>
            <color theme="1"/>
            <rFont val="Calibri"/>
            <family val="2"/>
            <scheme val="minor"/>
          </rPr>
          <t>Seleccione un valor de la lista</t>
        </r>
      </text>
    </comment>
    <comment ref="D2722" authorId="2">
      <text>
        <r>
          <rPr>
            <sz val="11"/>
            <color theme="1"/>
            <rFont val="Calibri"/>
            <family val="2"/>
            <scheme val="minor"/>
          </rPr>
          <t>Introduzca un número con dos decimales como máximo. Debe ser igual o mayor a la "Cantidad Real Consumida"</t>
        </r>
      </text>
    </comment>
    <comment ref="E2722" authorId="2">
      <text>
        <r>
          <rPr>
            <sz val="11"/>
            <color theme="1"/>
            <rFont val="Calibri"/>
            <family val="2"/>
            <scheme val="minor"/>
          </rPr>
          <t>Introduzca un número con dos decimales como máximo</t>
        </r>
      </text>
    </comment>
    <comment ref="F2722" authorId="2">
      <text>
        <r>
          <rPr>
            <sz val="11"/>
            <color theme="1"/>
            <rFont val="Calibri"/>
            <family val="2"/>
            <scheme val="minor"/>
          </rPr>
          <t>Monto calculado automáticamente por el sistema</t>
        </r>
      </text>
    </comment>
    <comment ref="A2727" authorId="2">
      <text>
        <r>
          <rPr>
            <sz val="11"/>
            <color theme="1"/>
            <rFont val="Calibri"/>
            <family val="2"/>
            <scheme val="minor"/>
          </rPr>
          <t>Introducir un texto con el nombre o referencia de la contratación</t>
        </r>
      </text>
    </comment>
    <comment ref="B2727" authorId="2">
      <text>
        <r>
          <rPr>
            <sz val="11"/>
            <color theme="1"/>
            <rFont val="Calibri"/>
            <family val="2"/>
            <scheme val="minor"/>
          </rPr>
          <t>Introduzca un texto con la finalidad de la contratación</t>
        </r>
      </text>
    </comment>
    <comment ref="C2727" authorId="2">
      <text>
        <r>
          <rPr>
            <sz val="11"/>
            <color theme="1"/>
            <rFont val="Calibri"/>
            <family val="2"/>
            <scheme val="minor"/>
          </rPr>
          <t>Seleccionar un valor del listado</t>
        </r>
      </text>
    </comment>
    <comment ref="D2727" authorId="2">
      <text>
        <r>
          <rPr>
            <sz val="11"/>
            <color theme="1"/>
            <rFont val="Calibri"/>
            <family val="2"/>
            <scheme val="minor"/>
          </rPr>
          <t>Seleccione el tipo de procedimiento</t>
        </r>
      </text>
    </comment>
    <comment ref="E2727" authorId="2">
      <text>
        <r>
          <rPr>
            <sz val="11"/>
            <color theme="1"/>
            <rFont val="Calibri"/>
            <family val="2"/>
            <scheme val="minor"/>
          </rPr>
          <t>Seleccione un valor de la lista</t>
        </r>
      </text>
    </comment>
    <comment ref="F2727" authorId="2">
      <text>
        <r>
          <rPr>
            <sz val="11"/>
            <color theme="1"/>
            <rFont val="Calibri"/>
            <family val="2"/>
            <scheme val="minor"/>
          </rPr>
          <t>Introduzca el código SNIP</t>
        </r>
      </text>
    </comment>
    <comment ref="C2728" authorId="2">
      <text>
        <r>
          <rPr>
            <sz val="11"/>
            <color theme="1"/>
            <rFont val="Calibri"/>
            <family val="2"/>
            <scheme val="minor"/>
          </rPr>
          <t>Introduzca la fecha de inicio del proceso, en formato dd-mm-aaaa</t>
        </r>
      </text>
    </comment>
    <comment ref="F27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9" authorId="2">
      <text/>
    </comment>
    <comment ref="C2730" authorId="2">
      <text>
        <r>
          <rPr>
            <sz val="11"/>
            <color theme="1"/>
            <rFont val="Calibri"/>
            <family val="2"/>
            <scheme val="minor"/>
          </rPr>
          <t>Introduzca la fecha prevista de adjudicación, en formato dd-mm-aaaa</t>
        </r>
      </text>
    </comment>
    <comment ref="F2730" authorId="2">
      <text/>
    </comment>
    <comment ref="F2731" authorId="2">
      <text/>
    </comment>
    <comment ref="A2733" authorId="2">
      <text>
        <r>
          <rPr>
            <sz val="11"/>
            <color theme="1"/>
            <rFont val="Calibri"/>
            <family val="2"/>
            <scheme val="minor"/>
          </rPr>
          <t>Introduzca un codigo UNSPSC</t>
        </r>
      </text>
    </comment>
    <comment ref="B2733" authorId="2">
      <text>
        <r>
          <rPr>
            <sz val="11"/>
            <color theme="1"/>
            <rFont val="Calibri"/>
            <family val="2"/>
            <scheme val="minor"/>
          </rPr>
          <t>Descripción calculada automáticamente a partir de código del artículo</t>
        </r>
      </text>
    </comment>
    <comment ref="C2733" authorId="2">
      <text>
        <r>
          <rPr>
            <sz val="11"/>
            <color theme="1"/>
            <rFont val="Calibri"/>
            <family val="2"/>
            <scheme val="minor"/>
          </rPr>
          <t>Seleccione un valor de la lista</t>
        </r>
      </text>
    </comment>
    <comment ref="D2733" authorId="2">
      <text>
        <r>
          <rPr>
            <sz val="11"/>
            <color theme="1"/>
            <rFont val="Calibri"/>
            <family val="2"/>
            <scheme val="minor"/>
          </rPr>
          <t>Introduzca un número con dos decimales como máximo. Debe ser igual o mayor a la "Cantidad Real Consumida"</t>
        </r>
      </text>
    </comment>
    <comment ref="E2733" authorId="2">
      <text>
        <r>
          <rPr>
            <sz val="11"/>
            <color theme="1"/>
            <rFont val="Calibri"/>
            <family val="2"/>
            <scheme val="minor"/>
          </rPr>
          <t>Introduzca un número con dos decimales como máximo</t>
        </r>
      </text>
    </comment>
    <comment ref="F2733" authorId="2">
      <text>
        <r>
          <rPr>
            <sz val="11"/>
            <color theme="1"/>
            <rFont val="Calibri"/>
            <family val="2"/>
            <scheme val="minor"/>
          </rPr>
          <t>Monto calculado automáticamente por el sistema</t>
        </r>
      </text>
    </comment>
    <comment ref="A2738" authorId="2">
      <text>
        <r>
          <rPr>
            <sz val="11"/>
            <color theme="1"/>
            <rFont val="Calibri"/>
            <family val="2"/>
            <scheme val="minor"/>
          </rPr>
          <t>Introducir un texto con el nombre o referencia de la contratación</t>
        </r>
      </text>
    </comment>
    <comment ref="B2738" authorId="2">
      <text>
        <r>
          <rPr>
            <sz val="11"/>
            <color theme="1"/>
            <rFont val="Calibri"/>
            <family val="2"/>
            <scheme val="minor"/>
          </rPr>
          <t>Introduzca un texto con la finalidad de la contratación</t>
        </r>
      </text>
    </comment>
    <comment ref="C2738" authorId="2">
      <text>
        <r>
          <rPr>
            <sz val="11"/>
            <color theme="1"/>
            <rFont val="Calibri"/>
            <family val="2"/>
            <scheme val="minor"/>
          </rPr>
          <t>Seleccionar un valor del listado</t>
        </r>
      </text>
    </comment>
    <comment ref="D2738" authorId="2">
      <text>
        <r>
          <rPr>
            <sz val="11"/>
            <color theme="1"/>
            <rFont val="Calibri"/>
            <family val="2"/>
            <scheme val="minor"/>
          </rPr>
          <t>Seleccione el tipo de procedimiento</t>
        </r>
      </text>
    </comment>
    <comment ref="E2738" authorId="2">
      <text>
        <r>
          <rPr>
            <sz val="11"/>
            <color theme="1"/>
            <rFont val="Calibri"/>
            <family val="2"/>
            <scheme val="minor"/>
          </rPr>
          <t>Seleccione un valor de la lista</t>
        </r>
      </text>
    </comment>
    <comment ref="F2738" authorId="2">
      <text>
        <r>
          <rPr>
            <sz val="11"/>
            <color theme="1"/>
            <rFont val="Calibri"/>
            <family val="2"/>
            <scheme val="minor"/>
          </rPr>
          <t>Introduzca el código SNIP</t>
        </r>
      </text>
    </comment>
    <comment ref="C2739" authorId="2">
      <text>
        <r>
          <rPr>
            <sz val="11"/>
            <color theme="1"/>
            <rFont val="Calibri"/>
            <family val="2"/>
            <scheme val="minor"/>
          </rPr>
          <t>Introduzca la fecha de inicio del proceso, en formato dd-mm-aaaa</t>
        </r>
      </text>
    </comment>
    <comment ref="F27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0" authorId="2">
      <text/>
    </comment>
    <comment ref="C2741" authorId="2">
      <text>
        <r>
          <rPr>
            <sz val="11"/>
            <color theme="1"/>
            <rFont val="Calibri"/>
            <family val="2"/>
            <scheme val="minor"/>
          </rPr>
          <t>Introduzca la fecha prevista de adjudicación, en formato dd-mm-aaaa</t>
        </r>
      </text>
    </comment>
    <comment ref="F2741" authorId="2">
      <text/>
    </comment>
    <comment ref="F2742" authorId="2">
      <text/>
    </comment>
    <comment ref="A2744" authorId="2">
      <text>
        <r>
          <rPr>
            <sz val="11"/>
            <color theme="1"/>
            <rFont val="Calibri"/>
            <family val="2"/>
            <scheme val="minor"/>
          </rPr>
          <t>Introduzca un codigo UNSPSC</t>
        </r>
      </text>
    </comment>
    <comment ref="B2744" authorId="2">
      <text>
        <r>
          <rPr>
            <sz val="11"/>
            <color theme="1"/>
            <rFont val="Calibri"/>
            <family val="2"/>
            <scheme val="minor"/>
          </rPr>
          <t>Descripción calculada automáticamente a partir de código del artículo</t>
        </r>
      </text>
    </comment>
    <comment ref="C2744" authorId="2">
      <text>
        <r>
          <rPr>
            <sz val="11"/>
            <color theme="1"/>
            <rFont val="Calibri"/>
            <family val="2"/>
            <scheme val="minor"/>
          </rPr>
          <t>Seleccione un valor de la lista</t>
        </r>
      </text>
    </comment>
    <comment ref="D2744" authorId="2">
      <text>
        <r>
          <rPr>
            <sz val="11"/>
            <color theme="1"/>
            <rFont val="Calibri"/>
            <family val="2"/>
            <scheme val="minor"/>
          </rPr>
          <t>Introduzca un número con dos decimales como máximo. Debe ser igual o mayor a la "Cantidad Real Consumida"</t>
        </r>
      </text>
    </comment>
    <comment ref="E2744" authorId="2">
      <text>
        <r>
          <rPr>
            <sz val="11"/>
            <color theme="1"/>
            <rFont val="Calibri"/>
            <family val="2"/>
            <scheme val="minor"/>
          </rPr>
          <t>Introduzca un número con dos decimales como máximo</t>
        </r>
      </text>
    </comment>
    <comment ref="F2744" authorId="2">
      <text>
        <r>
          <rPr>
            <sz val="11"/>
            <color theme="1"/>
            <rFont val="Calibri"/>
            <family val="2"/>
            <scheme val="minor"/>
          </rPr>
          <t>Monto calculado automáticamente por el sistema</t>
        </r>
      </text>
    </comment>
    <comment ref="A2756" authorId="2">
      <text>
        <r>
          <rPr>
            <sz val="11"/>
            <color theme="1"/>
            <rFont val="Calibri"/>
            <family val="2"/>
            <scheme val="minor"/>
          </rPr>
          <t>Introducir un texto con el nombre o referencia de la contratación</t>
        </r>
      </text>
    </comment>
    <comment ref="B2756" authorId="2">
      <text>
        <r>
          <rPr>
            <sz val="11"/>
            <color theme="1"/>
            <rFont val="Calibri"/>
            <family val="2"/>
            <scheme val="minor"/>
          </rPr>
          <t>Introduzca un texto con la finalidad de la contratación</t>
        </r>
      </text>
    </comment>
    <comment ref="C2756" authorId="2">
      <text>
        <r>
          <rPr>
            <sz val="11"/>
            <color theme="1"/>
            <rFont val="Calibri"/>
            <family val="2"/>
            <scheme val="minor"/>
          </rPr>
          <t>Seleccionar un valor del listado</t>
        </r>
      </text>
    </comment>
    <comment ref="D2756" authorId="2">
      <text>
        <r>
          <rPr>
            <sz val="11"/>
            <color theme="1"/>
            <rFont val="Calibri"/>
            <family val="2"/>
            <scheme val="minor"/>
          </rPr>
          <t>Seleccione el tipo de procedimiento</t>
        </r>
      </text>
    </comment>
    <comment ref="E2756" authorId="2">
      <text>
        <r>
          <rPr>
            <sz val="11"/>
            <color theme="1"/>
            <rFont val="Calibri"/>
            <family val="2"/>
            <scheme val="minor"/>
          </rPr>
          <t>Seleccione un valor de la lista</t>
        </r>
      </text>
    </comment>
    <comment ref="F2756" authorId="2">
      <text>
        <r>
          <rPr>
            <sz val="11"/>
            <color theme="1"/>
            <rFont val="Calibri"/>
            <family val="2"/>
            <scheme val="minor"/>
          </rPr>
          <t>Introduzca el código SNIP</t>
        </r>
      </text>
    </comment>
    <comment ref="C2757" authorId="2">
      <text>
        <r>
          <rPr>
            <sz val="11"/>
            <color theme="1"/>
            <rFont val="Calibri"/>
            <family val="2"/>
            <scheme val="minor"/>
          </rPr>
          <t>Introduzca la fecha de inicio del proceso, en formato dd-mm-aaaa</t>
        </r>
      </text>
    </comment>
    <comment ref="F27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8" authorId="2">
      <text/>
    </comment>
    <comment ref="C2759" authorId="2">
      <text>
        <r>
          <rPr>
            <sz val="11"/>
            <color theme="1"/>
            <rFont val="Calibri"/>
            <family val="2"/>
            <scheme val="minor"/>
          </rPr>
          <t>Introduzca la fecha prevista de adjudicación, en formato dd-mm-aaaa</t>
        </r>
      </text>
    </comment>
    <comment ref="F2759" authorId="2">
      <text/>
    </comment>
    <comment ref="F2760" authorId="2">
      <text/>
    </comment>
    <comment ref="A2762" authorId="2">
      <text>
        <r>
          <rPr>
            <sz val="11"/>
            <color theme="1"/>
            <rFont val="Calibri"/>
            <family val="2"/>
            <scheme val="minor"/>
          </rPr>
          <t>Introduzca un codigo UNSPSC</t>
        </r>
      </text>
    </comment>
    <comment ref="B2762" authorId="2">
      <text>
        <r>
          <rPr>
            <sz val="11"/>
            <color theme="1"/>
            <rFont val="Calibri"/>
            <family val="2"/>
            <scheme val="minor"/>
          </rPr>
          <t>Descripción calculada automáticamente a partir de código del artículo</t>
        </r>
      </text>
    </comment>
    <comment ref="C2762" authorId="2">
      <text>
        <r>
          <rPr>
            <sz val="11"/>
            <color theme="1"/>
            <rFont val="Calibri"/>
            <family val="2"/>
            <scheme val="minor"/>
          </rPr>
          <t>Seleccione un valor de la lista</t>
        </r>
      </text>
    </comment>
    <comment ref="D2762" authorId="2">
      <text>
        <r>
          <rPr>
            <sz val="11"/>
            <color theme="1"/>
            <rFont val="Calibri"/>
            <family val="2"/>
            <scheme val="minor"/>
          </rPr>
          <t>Introduzca un número con dos decimales como máximo. Debe ser igual o mayor a la "Cantidad Real Consumida"</t>
        </r>
      </text>
    </comment>
    <comment ref="E2762" authorId="2">
      <text>
        <r>
          <rPr>
            <sz val="11"/>
            <color theme="1"/>
            <rFont val="Calibri"/>
            <family val="2"/>
            <scheme val="minor"/>
          </rPr>
          <t>Introduzca un número con dos decimales como máximo</t>
        </r>
      </text>
    </comment>
    <comment ref="F2762" authorId="2">
      <text>
        <r>
          <rPr>
            <sz val="11"/>
            <color theme="1"/>
            <rFont val="Calibri"/>
            <family val="2"/>
            <scheme val="minor"/>
          </rPr>
          <t>Monto calculado automáticamente por el sistema</t>
        </r>
      </text>
    </comment>
    <comment ref="A2767" authorId="2">
      <text>
        <r>
          <rPr>
            <sz val="11"/>
            <color theme="1"/>
            <rFont val="Calibri"/>
            <family val="2"/>
            <scheme val="minor"/>
          </rPr>
          <t>Introducir un texto con el nombre o referencia de la contratación</t>
        </r>
      </text>
    </comment>
    <comment ref="B2767" authorId="2">
      <text>
        <r>
          <rPr>
            <sz val="11"/>
            <color theme="1"/>
            <rFont val="Calibri"/>
            <family val="2"/>
            <scheme val="minor"/>
          </rPr>
          <t>Introduzca un texto con la finalidad de la contratación</t>
        </r>
      </text>
    </comment>
    <comment ref="C2767" authorId="2">
      <text>
        <r>
          <rPr>
            <sz val="11"/>
            <color theme="1"/>
            <rFont val="Calibri"/>
            <family val="2"/>
            <scheme val="minor"/>
          </rPr>
          <t>Seleccionar un valor del listado</t>
        </r>
      </text>
    </comment>
    <comment ref="D2767" authorId="2">
      <text>
        <r>
          <rPr>
            <sz val="11"/>
            <color theme="1"/>
            <rFont val="Calibri"/>
            <family val="2"/>
            <scheme val="minor"/>
          </rPr>
          <t>Seleccione el tipo de procedimiento</t>
        </r>
      </text>
    </comment>
    <comment ref="E2767" authorId="2">
      <text>
        <r>
          <rPr>
            <sz val="11"/>
            <color theme="1"/>
            <rFont val="Calibri"/>
            <family val="2"/>
            <scheme val="minor"/>
          </rPr>
          <t>Seleccione un valor de la lista</t>
        </r>
      </text>
    </comment>
    <comment ref="F2767" authorId="2">
      <text>
        <r>
          <rPr>
            <sz val="11"/>
            <color theme="1"/>
            <rFont val="Calibri"/>
            <family val="2"/>
            <scheme val="minor"/>
          </rPr>
          <t>Introduzca el código SNIP</t>
        </r>
      </text>
    </comment>
    <comment ref="C2768" authorId="2">
      <text>
        <r>
          <rPr>
            <sz val="11"/>
            <color theme="1"/>
            <rFont val="Calibri"/>
            <family val="2"/>
            <scheme val="minor"/>
          </rPr>
          <t>Introduzca la fecha de inicio del proceso, en formato dd-mm-aaaa</t>
        </r>
      </text>
    </comment>
    <comment ref="F27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9" authorId="2">
      <text/>
    </comment>
    <comment ref="C2770" authorId="2">
      <text>
        <r>
          <rPr>
            <sz val="11"/>
            <color theme="1"/>
            <rFont val="Calibri"/>
            <family val="2"/>
            <scheme val="minor"/>
          </rPr>
          <t>Introduzca la fecha prevista de adjudicación, en formato dd-mm-aaaa</t>
        </r>
      </text>
    </comment>
    <comment ref="F2770" authorId="2">
      <text/>
    </comment>
    <comment ref="F2771" authorId="2">
      <text/>
    </comment>
    <comment ref="A2773" authorId="2">
      <text>
        <r>
          <rPr>
            <sz val="11"/>
            <color theme="1"/>
            <rFont val="Calibri"/>
            <family val="2"/>
            <scheme val="minor"/>
          </rPr>
          <t>Introduzca un codigo UNSPSC</t>
        </r>
      </text>
    </comment>
    <comment ref="B2773" authorId="2">
      <text>
        <r>
          <rPr>
            <sz val="11"/>
            <color theme="1"/>
            <rFont val="Calibri"/>
            <family val="2"/>
            <scheme val="minor"/>
          </rPr>
          <t>Descripción calculada automáticamente a partir de código del artículo</t>
        </r>
      </text>
    </comment>
    <comment ref="C2773" authorId="2">
      <text>
        <r>
          <rPr>
            <sz val="11"/>
            <color theme="1"/>
            <rFont val="Calibri"/>
            <family val="2"/>
            <scheme val="minor"/>
          </rPr>
          <t>Seleccione un valor de la lista</t>
        </r>
      </text>
    </comment>
    <comment ref="D2773" authorId="2">
      <text>
        <r>
          <rPr>
            <sz val="11"/>
            <color theme="1"/>
            <rFont val="Calibri"/>
            <family val="2"/>
            <scheme val="minor"/>
          </rPr>
          <t>Introduzca un número con dos decimales como máximo. Debe ser igual o mayor a la "Cantidad Real Consumida"</t>
        </r>
      </text>
    </comment>
    <comment ref="E2773" authorId="2">
      <text>
        <r>
          <rPr>
            <sz val="11"/>
            <color theme="1"/>
            <rFont val="Calibri"/>
            <family val="2"/>
            <scheme val="minor"/>
          </rPr>
          <t>Introduzca un número con dos decimales como máximo</t>
        </r>
      </text>
    </comment>
    <comment ref="F2773" authorId="2">
      <text>
        <r>
          <rPr>
            <sz val="11"/>
            <color theme="1"/>
            <rFont val="Calibri"/>
            <family val="2"/>
            <scheme val="minor"/>
          </rPr>
          <t>Monto calculado automáticamente por el sistema</t>
        </r>
      </text>
    </comment>
    <comment ref="A2778" authorId="2">
      <text>
        <r>
          <rPr>
            <sz val="11"/>
            <color theme="1"/>
            <rFont val="Calibri"/>
            <family val="2"/>
            <scheme val="minor"/>
          </rPr>
          <t>Introducir un texto con el nombre o referencia de la contratación</t>
        </r>
      </text>
    </comment>
    <comment ref="B2778" authorId="2">
      <text>
        <r>
          <rPr>
            <sz val="11"/>
            <color theme="1"/>
            <rFont val="Calibri"/>
            <family val="2"/>
            <scheme val="minor"/>
          </rPr>
          <t>Introduzca un texto con la finalidad de la contratación</t>
        </r>
      </text>
    </comment>
    <comment ref="C2778" authorId="2">
      <text>
        <r>
          <rPr>
            <sz val="11"/>
            <color theme="1"/>
            <rFont val="Calibri"/>
            <family val="2"/>
            <scheme val="minor"/>
          </rPr>
          <t>Seleccionar un valor del listado</t>
        </r>
      </text>
    </comment>
    <comment ref="D2778" authorId="2">
      <text>
        <r>
          <rPr>
            <sz val="11"/>
            <color theme="1"/>
            <rFont val="Calibri"/>
            <family val="2"/>
            <scheme val="minor"/>
          </rPr>
          <t>Seleccione el tipo de procedimiento</t>
        </r>
      </text>
    </comment>
    <comment ref="E2778" authorId="2">
      <text>
        <r>
          <rPr>
            <sz val="11"/>
            <color theme="1"/>
            <rFont val="Calibri"/>
            <family val="2"/>
            <scheme val="minor"/>
          </rPr>
          <t>Seleccione un valor de la lista</t>
        </r>
      </text>
    </comment>
    <comment ref="F2778" authorId="2">
      <text>
        <r>
          <rPr>
            <sz val="11"/>
            <color theme="1"/>
            <rFont val="Calibri"/>
            <family val="2"/>
            <scheme val="minor"/>
          </rPr>
          <t>Introduzca el código SNIP</t>
        </r>
      </text>
    </comment>
    <comment ref="C2779" authorId="2">
      <text>
        <r>
          <rPr>
            <sz val="11"/>
            <color theme="1"/>
            <rFont val="Calibri"/>
            <family val="2"/>
            <scheme val="minor"/>
          </rPr>
          <t>Introduzca la fecha de inicio del proceso, en formato dd-mm-aaaa</t>
        </r>
      </text>
    </comment>
    <comment ref="F27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0" authorId="2">
      <text/>
    </comment>
    <comment ref="C2781" authorId="2">
      <text>
        <r>
          <rPr>
            <sz val="11"/>
            <color theme="1"/>
            <rFont val="Calibri"/>
            <family val="2"/>
            <scheme val="minor"/>
          </rPr>
          <t>Introduzca la fecha prevista de adjudicación, en formato dd-mm-aaaa</t>
        </r>
      </text>
    </comment>
    <comment ref="F2781" authorId="2">
      <text/>
    </comment>
    <comment ref="F2782" authorId="2">
      <text/>
    </comment>
    <comment ref="A2784" authorId="2">
      <text>
        <r>
          <rPr>
            <sz val="11"/>
            <color theme="1"/>
            <rFont val="Calibri"/>
            <family val="2"/>
            <scheme val="minor"/>
          </rPr>
          <t>Introduzca un codigo UNSPSC</t>
        </r>
      </text>
    </comment>
    <comment ref="B2784" authorId="2">
      <text>
        <r>
          <rPr>
            <sz val="11"/>
            <color theme="1"/>
            <rFont val="Calibri"/>
            <family val="2"/>
            <scheme val="minor"/>
          </rPr>
          <t>Descripción calculada automáticamente a partir de código del artículo</t>
        </r>
      </text>
    </comment>
    <comment ref="C2784" authorId="2">
      <text>
        <r>
          <rPr>
            <sz val="11"/>
            <color theme="1"/>
            <rFont val="Calibri"/>
            <family val="2"/>
            <scheme val="minor"/>
          </rPr>
          <t>Seleccione un valor de la lista</t>
        </r>
      </text>
    </comment>
    <comment ref="D2784" authorId="2">
      <text>
        <r>
          <rPr>
            <sz val="11"/>
            <color theme="1"/>
            <rFont val="Calibri"/>
            <family val="2"/>
            <scheme val="minor"/>
          </rPr>
          <t>Introduzca un número con dos decimales como máximo. Debe ser igual o mayor a la "Cantidad Real Consumida"</t>
        </r>
      </text>
    </comment>
    <comment ref="E2784" authorId="2">
      <text>
        <r>
          <rPr>
            <sz val="11"/>
            <color theme="1"/>
            <rFont val="Calibri"/>
            <family val="2"/>
            <scheme val="minor"/>
          </rPr>
          <t>Introduzca un número con dos decimales como máximo</t>
        </r>
      </text>
    </comment>
    <comment ref="F2784" authorId="2">
      <text>
        <r>
          <rPr>
            <sz val="11"/>
            <color theme="1"/>
            <rFont val="Calibri"/>
            <family val="2"/>
            <scheme val="minor"/>
          </rPr>
          <t>Monto calculado automáticamente por el sistema</t>
        </r>
      </text>
    </comment>
    <comment ref="A2789" authorId="2">
      <text>
        <r>
          <rPr>
            <sz val="11"/>
            <color theme="1"/>
            <rFont val="Calibri"/>
            <family val="2"/>
            <scheme val="minor"/>
          </rPr>
          <t>Introducir un texto con el nombre o referencia de la contratación</t>
        </r>
      </text>
    </comment>
    <comment ref="B2789" authorId="2">
      <text>
        <r>
          <rPr>
            <sz val="11"/>
            <color theme="1"/>
            <rFont val="Calibri"/>
            <family val="2"/>
            <scheme val="minor"/>
          </rPr>
          <t>Introduzca un texto con la finalidad de la contratación</t>
        </r>
      </text>
    </comment>
    <comment ref="C2789" authorId="2">
      <text>
        <r>
          <rPr>
            <sz val="11"/>
            <color theme="1"/>
            <rFont val="Calibri"/>
            <family val="2"/>
            <scheme val="minor"/>
          </rPr>
          <t>Seleccionar un valor del listado</t>
        </r>
      </text>
    </comment>
    <comment ref="D2789" authorId="2">
      <text>
        <r>
          <rPr>
            <sz val="11"/>
            <color theme="1"/>
            <rFont val="Calibri"/>
            <family val="2"/>
            <scheme val="minor"/>
          </rPr>
          <t>Seleccione el tipo de procedimiento</t>
        </r>
      </text>
    </comment>
    <comment ref="E2789" authorId="2">
      <text>
        <r>
          <rPr>
            <sz val="11"/>
            <color theme="1"/>
            <rFont val="Calibri"/>
            <family val="2"/>
            <scheme val="minor"/>
          </rPr>
          <t>Seleccione un valor de la lista</t>
        </r>
      </text>
    </comment>
    <comment ref="F2789" authorId="2">
      <text>
        <r>
          <rPr>
            <sz val="11"/>
            <color theme="1"/>
            <rFont val="Calibri"/>
            <family val="2"/>
            <scheme val="minor"/>
          </rPr>
          <t>Introduzca el código SNIP</t>
        </r>
      </text>
    </comment>
    <comment ref="C2790" authorId="2">
      <text>
        <r>
          <rPr>
            <sz val="11"/>
            <color theme="1"/>
            <rFont val="Calibri"/>
            <family val="2"/>
            <scheme val="minor"/>
          </rPr>
          <t>Introduzca la fecha de inicio del proceso, en formato dd-mm-aaaa</t>
        </r>
      </text>
    </comment>
    <comment ref="F27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1" authorId="2">
      <text/>
    </comment>
    <comment ref="C2792" authorId="2">
      <text>
        <r>
          <rPr>
            <sz val="11"/>
            <color theme="1"/>
            <rFont val="Calibri"/>
            <family val="2"/>
            <scheme val="minor"/>
          </rPr>
          <t>Introduzca la fecha prevista de adjudicación, en formato dd-mm-aaaa</t>
        </r>
      </text>
    </comment>
    <comment ref="F2792" authorId="2">
      <text/>
    </comment>
    <comment ref="F2793" authorId="2">
      <text/>
    </comment>
    <comment ref="A2795" authorId="2">
      <text>
        <r>
          <rPr>
            <sz val="11"/>
            <color theme="1"/>
            <rFont val="Calibri"/>
            <family val="2"/>
            <scheme val="minor"/>
          </rPr>
          <t>Introduzca un codigo UNSPSC</t>
        </r>
      </text>
    </comment>
    <comment ref="B2795" authorId="2">
      <text>
        <r>
          <rPr>
            <sz val="11"/>
            <color theme="1"/>
            <rFont val="Calibri"/>
            <family val="2"/>
            <scheme val="minor"/>
          </rPr>
          <t>Descripción calculada automáticamente a partir de código del artículo</t>
        </r>
      </text>
    </comment>
    <comment ref="C2795" authorId="2">
      <text>
        <r>
          <rPr>
            <sz val="11"/>
            <color theme="1"/>
            <rFont val="Calibri"/>
            <family val="2"/>
            <scheme val="minor"/>
          </rPr>
          <t>Seleccione un valor de la lista</t>
        </r>
      </text>
    </comment>
    <comment ref="D2795" authorId="2">
      <text>
        <r>
          <rPr>
            <sz val="11"/>
            <color theme="1"/>
            <rFont val="Calibri"/>
            <family val="2"/>
            <scheme val="minor"/>
          </rPr>
          <t>Introduzca un número con dos decimales como máximo. Debe ser igual o mayor a la "Cantidad Real Consumida"</t>
        </r>
      </text>
    </comment>
    <comment ref="E2795" authorId="2">
      <text>
        <r>
          <rPr>
            <sz val="11"/>
            <color theme="1"/>
            <rFont val="Calibri"/>
            <family val="2"/>
            <scheme val="minor"/>
          </rPr>
          <t>Introduzca un número con dos decimales como máximo</t>
        </r>
      </text>
    </comment>
    <comment ref="F2795" authorId="2">
      <text>
        <r>
          <rPr>
            <sz val="11"/>
            <color theme="1"/>
            <rFont val="Calibri"/>
            <family val="2"/>
            <scheme val="minor"/>
          </rPr>
          <t>Monto calculado automáticamente por el sistema</t>
        </r>
      </text>
    </comment>
    <comment ref="A2800" authorId="2">
      <text>
        <r>
          <rPr>
            <sz val="11"/>
            <color theme="1"/>
            <rFont val="Calibri"/>
            <family val="2"/>
            <scheme val="minor"/>
          </rPr>
          <t>Introducir un texto con el nombre o referencia de la contratación</t>
        </r>
      </text>
    </comment>
    <comment ref="B2800" authorId="2">
      <text>
        <r>
          <rPr>
            <sz val="11"/>
            <color theme="1"/>
            <rFont val="Calibri"/>
            <family val="2"/>
            <scheme val="minor"/>
          </rPr>
          <t>Introduzca un texto con la finalidad de la contratación</t>
        </r>
      </text>
    </comment>
    <comment ref="C2800" authorId="2">
      <text>
        <r>
          <rPr>
            <sz val="11"/>
            <color theme="1"/>
            <rFont val="Calibri"/>
            <family val="2"/>
            <scheme val="minor"/>
          </rPr>
          <t>Seleccionar un valor del listado</t>
        </r>
      </text>
    </comment>
    <comment ref="D2800" authorId="2">
      <text>
        <r>
          <rPr>
            <sz val="11"/>
            <color theme="1"/>
            <rFont val="Calibri"/>
            <family val="2"/>
            <scheme val="minor"/>
          </rPr>
          <t>Seleccione el tipo de procedimiento</t>
        </r>
      </text>
    </comment>
    <comment ref="E2800" authorId="2">
      <text>
        <r>
          <rPr>
            <sz val="11"/>
            <color theme="1"/>
            <rFont val="Calibri"/>
            <family val="2"/>
            <scheme val="minor"/>
          </rPr>
          <t>Seleccione un valor de la lista</t>
        </r>
      </text>
    </comment>
    <comment ref="F2800" authorId="2">
      <text>
        <r>
          <rPr>
            <sz val="11"/>
            <color theme="1"/>
            <rFont val="Calibri"/>
            <family val="2"/>
            <scheme val="minor"/>
          </rPr>
          <t>Introduzca el código SNIP</t>
        </r>
      </text>
    </comment>
    <comment ref="C2801" authorId="2">
      <text>
        <r>
          <rPr>
            <sz val="11"/>
            <color theme="1"/>
            <rFont val="Calibri"/>
            <family val="2"/>
            <scheme val="minor"/>
          </rPr>
          <t>Introduzca la fecha de inicio del proceso, en formato dd-mm-aaaa</t>
        </r>
      </text>
    </comment>
    <comment ref="F28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2" authorId="2">
      <text/>
    </comment>
    <comment ref="C2803" authorId="2">
      <text>
        <r>
          <rPr>
            <sz val="11"/>
            <color theme="1"/>
            <rFont val="Calibri"/>
            <family val="2"/>
            <scheme val="minor"/>
          </rPr>
          <t>Introduzca la fecha prevista de adjudicación, en formato dd-mm-aaaa</t>
        </r>
      </text>
    </comment>
    <comment ref="F2803" authorId="2">
      <text/>
    </comment>
    <comment ref="F2804" authorId="2">
      <text/>
    </comment>
    <comment ref="A2806" authorId="2">
      <text>
        <r>
          <rPr>
            <sz val="11"/>
            <color theme="1"/>
            <rFont val="Calibri"/>
            <family val="2"/>
            <scheme val="minor"/>
          </rPr>
          <t>Introduzca un codigo UNSPSC</t>
        </r>
      </text>
    </comment>
    <comment ref="B2806" authorId="2">
      <text>
        <r>
          <rPr>
            <sz val="11"/>
            <color theme="1"/>
            <rFont val="Calibri"/>
            <family val="2"/>
            <scheme val="minor"/>
          </rPr>
          <t>Descripción calculada automáticamente a partir de código del artículo</t>
        </r>
      </text>
    </comment>
    <comment ref="C2806" authorId="2">
      <text>
        <r>
          <rPr>
            <sz val="11"/>
            <color theme="1"/>
            <rFont val="Calibri"/>
            <family val="2"/>
            <scheme val="minor"/>
          </rPr>
          <t>Seleccione un valor de la lista</t>
        </r>
      </text>
    </comment>
    <comment ref="D2806" authorId="2">
      <text>
        <r>
          <rPr>
            <sz val="11"/>
            <color theme="1"/>
            <rFont val="Calibri"/>
            <family val="2"/>
            <scheme val="minor"/>
          </rPr>
          <t>Introduzca un número con dos decimales como máximo. Debe ser igual o mayor a la "Cantidad Real Consumida"</t>
        </r>
      </text>
    </comment>
    <comment ref="E2806" authorId="2">
      <text>
        <r>
          <rPr>
            <sz val="11"/>
            <color theme="1"/>
            <rFont val="Calibri"/>
            <family val="2"/>
            <scheme val="minor"/>
          </rPr>
          <t>Introduzca un número con dos decimales como máximo</t>
        </r>
      </text>
    </comment>
    <comment ref="F2806" authorId="2">
      <text>
        <r>
          <rPr>
            <sz val="11"/>
            <color theme="1"/>
            <rFont val="Calibri"/>
            <family val="2"/>
            <scheme val="minor"/>
          </rPr>
          <t>Monto calculado automáticamente por el sistema</t>
        </r>
      </text>
    </comment>
    <comment ref="A2813" authorId="2">
      <text>
        <r>
          <rPr>
            <sz val="11"/>
            <color theme="1"/>
            <rFont val="Calibri"/>
            <family val="2"/>
            <scheme val="minor"/>
          </rPr>
          <t>Introducir un texto con el nombre o referencia de la contratación</t>
        </r>
      </text>
    </comment>
    <comment ref="B2813" authorId="2">
      <text>
        <r>
          <rPr>
            <sz val="11"/>
            <color theme="1"/>
            <rFont val="Calibri"/>
            <family val="2"/>
            <scheme val="minor"/>
          </rPr>
          <t>Introduzca un texto con la finalidad de la contratación</t>
        </r>
      </text>
    </comment>
    <comment ref="C2813" authorId="2">
      <text>
        <r>
          <rPr>
            <sz val="11"/>
            <color theme="1"/>
            <rFont val="Calibri"/>
            <family val="2"/>
            <scheme val="minor"/>
          </rPr>
          <t>Seleccionar un valor del listado</t>
        </r>
      </text>
    </comment>
    <comment ref="D2813" authorId="2">
      <text>
        <r>
          <rPr>
            <sz val="11"/>
            <color theme="1"/>
            <rFont val="Calibri"/>
            <family val="2"/>
            <scheme val="minor"/>
          </rPr>
          <t>Seleccione el tipo de procedimiento</t>
        </r>
      </text>
    </comment>
    <comment ref="E2813" authorId="2">
      <text>
        <r>
          <rPr>
            <sz val="11"/>
            <color theme="1"/>
            <rFont val="Calibri"/>
            <family val="2"/>
            <scheme val="minor"/>
          </rPr>
          <t>Seleccione un valor de la lista</t>
        </r>
      </text>
    </comment>
    <comment ref="F2813" authorId="2">
      <text>
        <r>
          <rPr>
            <sz val="11"/>
            <color theme="1"/>
            <rFont val="Calibri"/>
            <family val="2"/>
            <scheme val="minor"/>
          </rPr>
          <t>Introduzca el código SNIP</t>
        </r>
      </text>
    </comment>
    <comment ref="C2814" authorId="2">
      <text>
        <r>
          <rPr>
            <sz val="11"/>
            <color theme="1"/>
            <rFont val="Calibri"/>
            <family val="2"/>
            <scheme val="minor"/>
          </rPr>
          <t>Introduzca la fecha de inicio del proceso, en formato dd-mm-aaaa</t>
        </r>
      </text>
    </comment>
    <comment ref="F28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5" authorId="2">
      <text/>
    </comment>
    <comment ref="C2816" authorId="2">
      <text>
        <r>
          <rPr>
            <sz val="11"/>
            <color theme="1"/>
            <rFont val="Calibri"/>
            <family val="2"/>
            <scheme val="minor"/>
          </rPr>
          <t>Introduzca la fecha prevista de adjudicación, en formato dd-mm-aaaa</t>
        </r>
      </text>
    </comment>
    <comment ref="F2816" authorId="2">
      <text/>
    </comment>
    <comment ref="F2817" authorId="2">
      <text/>
    </comment>
    <comment ref="A2819" authorId="2">
      <text>
        <r>
          <rPr>
            <sz val="11"/>
            <color theme="1"/>
            <rFont val="Calibri"/>
            <family val="2"/>
            <scheme val="minor"/>
          </rPr>
          <t>Introduzca un codigo UNSPSC</t>
        </r>
      </text>
    </comment>
    <comment ref="B2819" authorId="2">
      <text>
        <r>
          <rPr>
            <sz val="11"/>
            <color theme="1"/>
            <rFont val="Calibri"/>
            <family val="2"/>
            <scheme val="minor"/>
          </rPr>
          <t>Descripción calculada automáticamente a partir de código del artículo</t>
        </r>
      </text>
    </comment>
    <comment ref="C2819" authorId="2">
      <text>
        <r>
          <rPr>
            <sz val="11"/>
            <color theme="1"/>
            <rFont val="Calibri"/>
            <family val="2"/>
            <scheme val="minor"/>
          </rPr>
          <t>Seleccione un valor de la lista</t>
        </r>
      </text>
    </comment>
    <comment ref="D2819" authorId="2">
      <text>
        <r>
          <rPr>
            <sz val="11"/>
            <color theme="1"/>
            <rFont val="Calibri"/>
            <family val="2"/>
            <scheme val="minor"/>
          </rPr>
          <t>Introduzca un número con dos decimales como máximo. Debe ser igual o mayor a la "Cantidad Real Consumida"</t>
        </r>
      </text>
    </comment>
    <comment ref="E2819" authorId="2">
      <text>
        <r>
          <rPr>
            <sz val="11"/>
            <color theme="1"/>
            <rFont val="Calibri"/>
            <family val="2"/>
            <scheme val="minor"/>
          </rPr>
          <t>Introduzca un número con dos decimales como máximo</t>
        </r>
      </text>
    </comment>
    <comment ref="F2819" authorId="2">
      <text>
        <r>
          <rPr>
            <sz val="11"/>
            <color theme="1"/>
            <rFont val="Calibri"/>
            <family val="2"/>
            <scheme val="minor"/>
          </rPr>
          <t>Monto calculado automáticamente por el sistema</t>
        </r>
      </text>
    </comment>
    <comment ref="A2845" authorId="2">
      <text>
        <r>
          <rPr>
            <sz val="11"/>
            <color theme="1"/>
            <rFont val="Calibri"/>
            <family val="2"/>
            <scheme val="minor"/>
          </rPr>
          <t>Introducir un texto con el nombre o referencia de la contratación</t>
        </r>
      </text>
    </comment>
    <comment ref="B2845" authorId="2">
      <text>
        <r>
          <rPr>
            <sz val="11"/>
            <color theme="1"/>
            <rFont val="Calibri"/>
            <family val="2"/>
            <scheme val="minor"/>
          </rPr>
          <t>Introduzca un texto con la finalidad de la contratación</t>
        </r>
      </text>
    </comment>
    <comment ref="C2845" authorId="2">
      <text>
        <r>
          <rPr>
            <sz val="11"/>
            <color theme="1"/>
            <rFont val="Calibri"/>
            <family val="2"/>
            <scheme val="minor"/>
          </rPr>
          <t>Seleccionar un valor del listado</t>
        </r>
      </text>
    </comment>
    <comment ref="D2845" authorId="2">
      <text>
        <r>
          <rPr>
            <sz val="11"/>
            <color theme="1"/>
            <rFont val="Calibri"/>
            <family val="2"/>
            <scheme val="minor"/>
          </rPr>
          <t>Seleccione el tipo de procedimiento</t>
        </r>
      </text>
    </comment>
    <comment ref="E2845" authorId="2">
      <text>
        <r>
          <rPr>
            <sz val="11"/>
            <color theme="1"/>
            <rFont val="Calibri"/>
            <family val="2"/>
            <scheme val="minor"/>
          </rPr>
          <t>Seleccione un valor de la lista</t>
        </r>
      </text>
    </comment>
    <comment ref="F2845" authorId="2">
      <text>
        <r>
          <rPr>
            <sz val="11"/>
            <color theme="1"/>
            <rFont val="Calibri"/>
            <family val="2"/>
            <scheme val="minor"/>
          </rPr>
          <t>Introduzca el código SNIP</t>
        </r>
      </text>
    </comment>
    <comment ref="C2846" authorId="2">
      <text>
        <r>
          <rPr>
            <sz val="11"/>
            <color theme="1"/>
            <rFont val="Calibri"/>
            <family val="2"/>
            <scheme val="minor"/>
          </rPr>
          <t>Introduzca la fecha de inicio del proceso, en formato dd-mm-aaaa</t>
        </r>
      </text>
    </comment>
    <comment ref="F28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7" authorId="2">
      <text/>
    </comment>
    <comment ref="C2848" authorId="2">
      <text>
        <r>
          <rPr>
            <sz val="11"/>
            <color theme="1"/>
            <rFont val="Calibri"/>
            <family val="2"/>
            <scheme val="minor"/>
          </rPr>
          <t>Introduzca la fecha prevista de adjudicación, en formato dd-mm-aaaa</t>
        </r>
      </text>
    </comment>
    <comment ref="F2848" authorId="2">
      <text/>
    </comment>
    <comment ref="F2849" authorId="2">
      <text/>
    </comment>
    <comment ref="A2851" authorId="2">
      <text>
        <r>
          <rPr>
            <sz val="11"/>
            <color theme="1"/>
            <rFont val="Calibri"/>
            <family val="2"/>
            <scheme val="minor"/>
          </rPr>
          <t>Introduzca un codigo UNSPSC</t>
        </r>
      </text>
    </comment>
    <comment ref="B2851" authorId="2">
      <text>
        <r>
          <rPr>
            <sz val="11"/>
            <color theme="1"/>
            <rFont val="Calibri"/>
            <family val="2"/>
            <scheme val="minor"/>
          </rPr>
          <t>Descripción calculada automáticamente a partir de código del artículo</t>
        </r>
      </text>
    </comment>
    <comment ref="C2851" authorId="2">
      <text>
        <r>
          <rPr>
            <sz val="11"/>
            <color theme="1"/>
            <rFont val="Calibri"/>
            <family val="2"/>
            <scheme val="minor"/>
          </rPr>
          <t>Seleccione un valor de la lista</t>
        </r>
      </text>
    </comment>
    <comment ref="D2851" authorId="2">
      <text>
        <r>
          <rPr>
            <sz val="11"/>
            <color theme="1"/>
            <rFont val="Calibri"/>
            <family val="2"/>
            <scheme val="minor"/>
          </rPr>
          <t>Introduzca un número con dos decimales como máximo. Debe ser igual o mayor a la "Cantidad Real Consumida"</t>
        </r>
      </text>
    </comment>
    <comment ref="E2851" authorId="2">
      <text>
        <r>
          <rPr>
            <sz val="11"/>
            <color theme="1"/>
            <rFont val="Calibri"/>
            <family val="2"/>
            <scheme val="minor"/>
          </rPr>
          <t>Introduzca un número con dos decimales como máximo</t>
        </r>
      </text>
    </comment>
    <comment ref="F2851" authorId="2">
      <text>
        <r>
          <rPr>
            <sz val="11"/>
            <color theme="1"/>
            <rFont val="Calibri"/>
            <family val="2"/>
            <scheme val="minor"/>
          </rPr>
          <t>Monto calculado automáticamente por el sistema</t>
        </r>
      </text>
    </comment>
    <comment ref="A2856" authorId="2">
      <text>
        <r>
          <rPr>
            <sz val="11"/>
            <color theme="1"/>
            <rFont val="Calibri"/>
            <family val="2"/>
            <scheme val="minor"/>
          </rPr>
          <t>Introducir un texto con el nombre o referencia de la contratación</t>
        </r>
      </text>
    </comment>
    <comment ref="B2856" authorId="2">
      <text>
        <r>
          <rPr>
            <sz val="11"/>
            <color theme="1"/>
            <rFont val="Calibri"/>
            <family val="2"/>
            <scheme val="minor"/>
          </rPr>
          <t>Introduzca un texto con la finalidad de la contratación</t>
        </r>
      </text>
    </comment>
    <comment ref="C2856" authorId="2">
      <text>
        <r>
          <rPr>
            <sz val="11"/>
            <color theme="1"/>
            <rFont val="Calibri"/>
            <family val="2"/>
            <scheme val="minor"/>
          </rPr>
          <t>Seleccionar un valor del listado</t>
        </r>
      </text>
    </comment>
    <comment ref="D2856" authorId="2">
      <text>
        <r>
          <rPr>
            <sz val="11"/>
            <color theme="1"/>
            <rFont val="Calibri"/>
            <family val="2"/>
            <scheme val="minor"/>
          </rPr>
          <t>Seleccione el tipo de procedimiento</t>
        </r>
      </text>
    </comment>
    <comment ref="E2856" authorId="2">
      <text>
        <r>
          <rPr>
            <sz val="11"/>
            <color theme="1"/>
            <rFont val="Calibri"/>
            <family val="2"/>
            <scheme val="minor"/>
          </rPr>
          <t>Seleccione un valor de la lista</t>
        </r>
      </text>
    </comment>
    <comment ref="F2856" authorId="2">
      <text>
        <r>
          <rPr>
            <sz val="11"/>
            <color theme="1"/>
            <rFont val="Calibri"/>
            <family val="2"/>
            <scheme val="minor"/>
          </rPr>
          <t>Introduzca el código SNIP</t>
        </r>
      </text>
    </comment>
    <comment ref="C2857" authorId="2">
      <text>
        <r>
          <rPr>
            <sz val="11"/>
            <color theme="1"/>
            <rFont val="Calibri"/>
            <family val="2"/>
            <scheme val="minor"/>
          </rPr>
          <t>Introduzca la fecha de inicio del proceso, en formato dd-mm-aaaa</t>
        </r>
      </text>
    </comment>
    <comment ref="F28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8" authorId="2">
      <text/>
    </comment>
    <comment ref="C2859" authorId="2">
      <text>
        <r>
          <rPr>
            <sz val="11"/>
            <color theme="1"/>
            <rFont val="Calibri"/>
            <family val="2"/>
            <scheme val="minor"/>
          </rPr>
          <t>Introduzca la fecha prevista de adjudicación, en formato dd-mm-aaaa</t>
        </r>
      </text>
    </comment>
    <comment ref="F2859" authorId="2">
      <text/>
    </comment>
    <comment ref="F2860" authorId="2">
      <text/>
    </comment>
    <comment ref="A2862" authorId="2">
      <text>
        <r>
          <rPr>
            <sz val="11"/>
            <color theme="1"/>
            <rFont val="Calibri"/>
            <family val="2"/>
            <scheme val="minor"/>
          </rPr>
          <t>Introduzca un codigo UNSPSC</t>
        </r>
      </text>
    </comment>
    <comment ref="B2862" authorId="2">
      <text>
        <r>
          <rPr>
            <sz val="11"/>
            <color theme="1"/>
            <rFont val="Calibri"/>
            <family val="2"/>
            <scheme val="minor"/>
          </rPr>
          <t>Descripción calculada automáticamente a partir de código del artículo</t>
        </r>
      </text>
    </comment>
    <comment ref="C2862" authorId="2">
      <text>
        <r>
          <rPr>
            <sz val="11"/>
            <color theme="1"/>
            <rFont val="Calibri"/>
            <family val="2"/>
            <scheme val="minor"/>
          </rPr>
          <t>Seleccione un valor de la lista</t>
        </r>
      </text>
    </comment>
    <comment ref="D2862" authorId="2">
      <text>
        <r>
          <rPr>
            <sz val="11"/>
            <color theme="1"/>
            <rFont val="Calibri"/>
            <family val="2"/>
            <scheme val="minor"/>
          </rPr>
          <t>Introduzca un número con dos decimales como máximo. Debe ser igual o mayor a la "Cantidad Real Consumida"</t>
        </r>
      </text>
    </comment>
    <comment ref="E2862" authorId="2">
      <text>
        <r>
          <rPr>
            <sz val="11"/>
            <color theme="1"/>
            <rFont val="Calibri"/>
            <family val="2"/>
            <scheme val="minor"/>
          </rPr>
          <t>Introduzca un número con dos decimales como máximo</t>
        </r>
      </text>
    </comment>
    <comment ref="F2862" authorId="2">
      <text>
        <r>
          <rPr>
            <sz val="11"/>
            <color theme="1"/>
            <rFont val="Calibri"/>
            <family val="2"/>
            <scheme val="minor"/>
          </rPr>
          <t>Monto calculado automáticamente por el sistema</t>
        </r>
      </text>
    </comment>
    <comment ref="A2867" authorId="2">
      <text>
        <r>
          <rPr>
            <sz val="11"/>
            <color theme="1"/>
            <rFont val="Calibri"/>
            <family val="2"/>
            <scheme val="minor"/>
          </rPr>
          <t>Introducir un texto con el nombre o referencia de la contratación</t>
        </r>
      </text>
    </comment>
    <comment ref="B2867" authorId="2">
      <text>
        <r>
          <rPr>
            <sz val="11"/>
            <color theme="1"/>
            <rFont val="Calibri"/>
            <family val="2"/>
            <scheme val="minor"/>
          </rPr>
          <t>Introduzca un texto con la finalidad de la contratación</t>
        </r>
      </text>
    </comment>
    <comment ref="C2867" authorId="2">
      <text>
        <r>
          <rPr>
            <sz val="11"/>
            <color theme="1"/>
            <rFont val="Calibri"/>
            <family val="2"/>
            <scheme val="minor"/>
          </rPr>
          <t>Seleccionar un valor del listado</t>
        </r>
      </text>
    </comment>
    <comment ref="D2867" authorId="2">
      <text>
        <r>
          <rPr>
            <sz val="11"/>
            <color theme="1"/>
            <rFont val="Calibri"/>
            <family val="2"/>
            <scheme val="minor"/>
          </rPr>
          <t>Seleccione el tipo de procedimiento</t>
        </r>
      </text>
    </comment>
    <comment ref="E2867" authorId="2">
      <text>
        <r>
          <rPr>
            <sz val="11"/>
            <color theme="1"/>
            <rFont val="Calibri"/>
            <family val="2"/>
            <scheme val="minor"/>
          </rPr>
          <t>Seleccione un valor de la lista</t>
        </r>
      </text>
    </comment>
    <comment ref="F2867" authorId="2">
      <text>
        <r>
          <rPr>
            <sz val="11"/>
            <color theme="1"/>
            <rFont val="Calibri"/>
            <family val="2"/>
            <scheme val="minor"/>
          </rPr>
          <t>Introduzca el código SNIP</t>
        </r>
      </text>
    </comment>
    <comment ref="C2868" authorId="2">
      <text>
        <r>
          <rPr>
            <sz val="11"/>
            <color theme="1"/>
            <rFont val="Calibri"/>
            <family val="2"/>
            <scheme val="minor"/>
          </rPr>
          <t>Introduzca la fecha de inicio del proceso, en formato dd-mm-aaaa</t>
        </r>
      </text>
    </comment>
    <comment ref="F28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9" authorId="2">
      <text/>
    </comment>
    <comment ref="C2870" authorId="2">
      <text>
        <r>
          <rPr>
            <sz val="11"/>
            <color theme="1"/>
            <rFont val="Calibri"/>
            <family val="2"/>
            <scheme val="minor"/>
          </rPr>
          <t>Introduzca la fecha prevista de adjudicación, en formato dd-mm-aaaa</t>
        </r>
      </text>
    </comment>
    <comment ref="F2870" authorId="2">
      <text/>
    </comment>
    <comment ref="F2871" authorId="2">
      <text/>
    </comment>
    <comment ref="A2873" authorId="2">
      <text>
        <r>
          <rPr>
            <sz val="11"/>
            <color theme="1"/>
            <rFont val="Calibri"/>
            <family val="2"/>
            <scheme val="minor"/>
          </rPr>
          <t>Introduzca un codigo UNSPSC</t>
        </r>
      </text>
    </comment>
    <comment ref="B2873" authorId="2">
      <text>
        <r>
          <rPr>
            <sz val="11"/>
            <color theme="1"/>
            <rFont val="Calibri"/>
            <family val="2"/>
            <scheme val="minor"/>
          </rPr>
          <t>Descripción calculada automáticamente a partir de código del artículo</t>
        </r>
      </text>
    </comment>
    <comment ref="C2873" authorId="2">
      <text>
        <r>
          <rPr>
            <sz val="11"/>
            <color theme="1"/>
            <rFont val="Calibri"/>
            <family val="2"/>
            <scheme val="minor"/>
          </rPr>
          <t>Seleccione un valor de la lista</t>
        </r>
      </text>
    </comment>
    <comment ref="D2873" authorId="2">
      <text>
        <r>
          <rPr>
            <sz val="11"/>
            <color theme="1"/>
            <rFont val="Calibri"/>
            <family val="2"/>
            <scheme val="minor"/>
          </rPr>
          <t>Introduzca un número con dos decimales como máximo. Debe ser igual o mayor a la "Cantidad Real Consumida"</t>
        </r>
      </text>
    </comment>
    <comment ref="E2873" authorId="2">
      <text>
        <r>
          <rPr>
            <sz val="11"/>
            <color theme="1"/>
            <rFont val="Calibri"/>
            <family val="2"/>
            <scheme val="minor"/>
          </rPr>
          <t>Introduzca un número con dos decimales como máximo</t>
        </r>
      </text>
    </comment>
    <comment ref="F2873" authorId="2">
      <text>
        <r>
          <rPr>
            <sz val="11"/>
            <color theme="1"/>
            <rFont val="Calibri"/>
            <family val="2"/>
            <scheme val="minor"/>
          </rPr>
          <t>Monto calculado automáticamente por el sistema</t>
        </r>
      </text>
    </comment>
    <comment ref="A2878" authorId="2">
      <text>
        <r>
          <rPr>
            <sz val="11"/>
            <color theme="1"/>
            <rFont val="Calibri"/>
            <family val="2"/>
            <scheme val="minor"/>
          </rPr>
          <t>Introducir un texto con el nombre o referencia de la contratación</t>
        </r>
      </text>
    </comment>
    <comment ref="B2878" authorId="2">
      <text>
        <r>
          <rPr>
            <sz val="11"/>
            <color theme="1"/>
            <rFont val="Calibri"/>
            <family val="2"/>
            <scheme val="minor"/>
          </rPr>
          <t>Introduzca un texto con la finalidad de la contratación</t>
        </r>
      </text>
    </comment>
    <comment ref="C2878" authorId="2">
      <text>
        <r>
          <rPr>
            <sz val="11"/>
            <color theme="1"/>
            <rFont val="Calibri"/>
            <family val="2"/>
            <scheme val="minor"/>
          </rPr>
          <t>Seleccionar un valor del listado</t>
        </r>
      </text>
    </comment>
    <comment ref="D2878" authorId="2">
      <text>
        <r>
          <rPr>
            <sz val="11"/>
            <color theme="1"/>
            <rFont val="Calibri"/>
            <family val="2"/>
            <scheme val="minor"/>
          </rPr>
          <t>Seleccione el tipo de procedimiento</t>
        </r>
      </text>
    </comment>
    <comment ref="E2878" authorId="2">
      <text>
        <r>
          <rPr>
            <sz val="11"/>
            <color theme="1"/>
            <rFont val="Calibri"/>
            <family val="2"/>
            <scheme val="minor"/>
          </rPr>
          <t>Seleccione un valor de la lista</t>
        </r>
      </text>
    </comment>
    <comment ref="F2878" authorId="2">
      <text>
        <r>
          <rPr>
            <sz val="11"/>
            <color theme="1"/>
            <rFont val="Calibri"/>
            <family val="2"/>
            <scheme val="minor"/>
          </rPr>
          <t>Introduzca el código SNIP</t>
        </r>
      </text>
    </comment>
    <comment ref="C2879" authorId="2">
      <text>
        <r>
          <rPr>
            <sz val="11"/>
            <color theme="1"/>
            <rFont val="Calibri"/>
            <family val="2"/>
            <scheme val="minor"/>
          </rPr>
          <t>Introduzca la fecha de inicio del proceso, en formato dd-mm-aaaa</t>
        </r>
      </text>
    </comment>
    <comment ref="F28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0" authorId="2">
      <text/>
    </comment>
    <comment ref="C2881" authorId="2">
      <text>
        <r>
          <rPr>
            <sz val="11"/>
            <color theme="1"/>
            <rFont val="Calibri"/>
            <family val="2"/>
            <scheme val="minor"/>
          </rPr>
          <t>Introduzca la fecha prevista de adjudicación, en formato dd-mm-aaaa</t>
        </r>
      </text>
    </comment>
    <comment ref="F2881" authorId="2">
      <text/>
    </comment>
    <comment ref="F2882" authorId="2">
      <text/>
    </comment>
    <comment ref="A2884" authorId="2">
      <text>
        <r>
          <rPr>
            <sz val="11"/>
            <color theme="1"/>
            <rFont val="Calibri"/>
            <family val="2"/>
            <scheme val="minor"/>
          </rPr>
          <t>Introduzca un codigo UNSPSC</t>
        </r>
      </text>
    </comment>
    <comment ref="B2884" authorId="2">
      <text>
        <r>
          <rPr>
            <sz val="11"/>
            <color theme="1"/>
            <rFont val="Calibri"/>
            <family val="2"/>
            <scheme val="minor"/>
          </rPr>
          <t>Descripción calculada automáticamente a partir de código del artículo</t>
        </r>
      </text>
    </comment>
    <comment ref="C2884" authorId="2">
      <text>
        <r>
          <rPr>
            <sz val="11"/>
            <color theme="1"/>
            <rFont val="Calibri"/>
            <family val="2"/>
            <scheme val="minor"/>
          </rPr>
          <t>Seleccione un valor de la lista</t>
        </r>
      </text>
    </comment>
    <comment ref="D2884" authorId="2">
      <text>
        <r>
          <rPr>
            <sz val="11"/>
            <color theme="1"/>
            <rFont val="Calibri"/>
            <family val="2"/>
            <scheme val="minor"/>
          </rPr>
          <t>Introduzca un número con dos decimales como máximo. Debe ser igual o mayor a la "Cantidad Real Consumida"</t>
        </r>
      </text>
    </comment>
    <comment ref="E2884" authorId="2">
      <text>
        <r>
          <rPr>
            <sz val="11"/>
            <color theme="1"/>
            <rFont val="Calibri"/>
            <family val="2"/>
            <scheme val="minor"/>
          </rPr>
          <t>Introduzca un número con dos decimales como máximo</t>
        </r>
      </text>
    </comment>
    <comment ref="F2884" authorId="2">
      <text>
        <r>
          <rPr>
            <sz val="11"/>
            <color theme="1"/>
            <rFont val="Calibri"/>
            <family val="2"/>
            <scheme val="minor"/>
          </rPr>
          <t>Monto calculado automáticamente por el sistema</t>
        </r>
      </text>
    </comment>
    <comment ref="A2890" authorId="2">
      <text>
        <r>
          <rPr>
            <sz val="11"/>
            <color theme="1"/>
            <rFont val="Calibri"/>
            <family val="2"/>
            <scheme val="minor"/>
          </rPr>
          <t>Introducir un texto con el nombre o referencia de la contratación</t>
        </r>
      </text>
    </comment>
    <comment ref="B2890" authorId="2">
      <text>
        <r>
          <rPr>
            <sz val="11"/>
            <color theme="1"/>
            <rFont val="Calibri"/>
            <family val="2"/>
            <scheme val="minor"/>
          </rPr>
          <t>Introduzca un texto con la finalidad de la contratación</t>
        </r>
      </text>
    </comment>
    <comment ref="C2890" authorId="2">
      <text>
        <r>
          <rPr>
            <sz val="11"/>
            <color theme="1"/>
            <rFont val="Calibri"/>
            <family val="2"/>
            <scheme val="minor"/>
          </rPr>
          <t>Seleccionar un valor del listado</t>
        </r>
      </text>
    </comment>
    <comment ref="D2890" authorId="2">
      <text>
        <r>
          <rPr>
            <sz val="11"/>
            <color theme="1"/>
            <rFont val="Calibri"/>
            <family val="2"/>
            <scheme val="minor"/>
          </rPr>
          <t>Seleccione el tipo de procedimiento</t>
        </r>
      </text>
    </comment>
    <comment ref="E2890" authorId="2">
      <text>
        <r>
          <rPr>
            <sz val="11"/>
            <color theme="1"/>
            <rFont val="Calibri"/>
            <family val="2"/>
            <scheme val="minor"/>
          </rPr>
          <t>Seleccione un valor de la lista</t>
        </r>
      </text>
    </comment>
    <comment ref="F2890" authorId="2">
      <text>
        <r>
          <rPr>
            <sz val="11"/>
            <color theme="1"/>
            <rFont val="Calibri"/>
            <family val="2"/>
            <scheme val="minor"/>
          </rPr>
          <t>Introduzca el código SNIP</t>
        </r>
      </text>
    </comment>
    <comment ref="C2891" authorId="2">
      <text>
        <r>
          <rPr>
            <sz val="11"/>
            <color theme="1"/>
            <rFont val="Calibri"/>
            <family val="2"/>
            <scheme val="minor"/>
          </rPr>
          <t>Introduzca la fecha de inicio del proceso, en formato dd-mm-aaaa</t>
        </r>
      </text>
    </comment>
    <comment ref="F289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2" authorId="2">
      <text/>
    </comment>
    <comment ref="C2893" authorId="2">
      <text>
        <r>
          <rPr>
            <sz val="11"/>
            <color theme="1"/>
            <rFont val="Calibri"/>
            <family val="2"/>
            <scheme val="minor"/>
          </rPr>
          <t>Introduzca la fecha prevista de adjudicación, en formato dd-mm-aaaa</t>
        </r>
      </text>
    </comment>
    <comment ref="F2893" authorId="2">
      <text/>
    </comment>
    <comment ref="F2894" authorId="2">
      <text/>
    </comment>
    <comment ref="A2896" authorId="2">
      <text>
        <r>
          <rPr>
            <sz val="11"/>
            <color theme="1"/>
            <rFont val="Calibri"/>
            <family val="2"/>
            <scheme val="minor"/>
          </rPr>
          <t>Introduzca un codigo UNSPSC</t>
        </r>
      </text>
    </comment>
    <comment ref="B2896" authorId="2">
      <text>
        <r>
          <rPr>
            <sz val="11"/>
            <color theme="1"/>
            <rFont val="Calibri"/>
            <family val="2"/>
            <scheme val="minor"/>
          </rPr>
          <t>Descripción calculada automáticamente a partir de código del artículo</t>
        </r>
      </text>
    </comment>
    <comment ref="C2896" authorId="2">
      <text>
        <r>
          <rPr>
            <sz val="11"/>
            <color theme="1"/>
            <rFont val="Calibri"/>
            <family val="2"/>
            <scheme val="minor"/>
          </rPr>
          <t>Seleccione un valor de la lista</t>
        </r>
      </text>
    </comment>
    <comment ref="D2896" authorId="2">
      <text>
        <r>
          <rPr>
            <sz val="11"/>
            <color theme="1"/>
            <rFont val="Calibri"/>
            <family val="2"/>
            <scheme val="minor"/>
          </rPr>
          <t>Introduzca un número con dos decimales como máximo. Debe ser igual o mayor a la "Cantidad Real Consumida"</t>
        </r>
      </text>
    </comment>
    <comment ref="E2896" authorId="2">
      <text>
        <r>
          <rPr>
            <sz val="11"/>
            <color theme="1"/>
            <rFont val="Calibri"/>
            <family val="2"/>
            <scheme val="minor"/>
          </rPr>
          <t>Introduzca un número con dos decimales como máximo</t>
        </r>
      </text>
    </comment>
    <comment ref="F2896" authorId="2">
      <text>
        <r>
          <rPr>
            <sz val="11"/>
            <color theme="1"/>
            <rFont val="Calibri"/>
            <family val="2"/>
            <scheme val="minor"/>
          </rPr>
          <t>Monto calculado automáticamente por el sistema</t>
        </r>
      </text>
    </comment>
    <comment ref="A2901" authorId="2">
      <text>
        <r>
          <rPr>
            <sz val="11"/>
            <color theme="1"/>
            <rFont val="Calibri"/>
            <family val="2"/>
            <scheme val="minor"/>
          </rPr>
          <t>Introducir un texto con el nombre o referencia de la contratación</t>
        </r>
      </text>
    </comment>
    <comment ref="B2901" authorId="2">
      <text>
        <r>
          <rPr>
            <sz val="11"/>
            <color theme="1"/>
            <rFont val="Calibri"/>
            <family val="2"/>
            <scheme val="minor"/>
          </rPr>
          <t>Introduzca un texto con la finalidad de la contratación</t>
        </r>
      </text>
    </comment>
    <comment ref="C2901" authorId="2">
      <text>
        <r>
          <rPr>
            <sz val="11"/>
            <color theme="1"/>
            <rFont val="Calibri"/>
            <family val="2"/>
            <scheme val="minor"/>
          </rPr>
          <t>Seleccionar un valor del listado</t>
        </r>
      </text>
    </comment>
    <comment ref="D2901" authorId="2">
      <text>
        <r>
          <rPr>
            <sz val="11"/>
            <color theme="1"/>
            <rFont val="Calibri"/>
            <family val="2"/>
            <scheme val="minor"/>
          </rPr>
          <t>Seleccione el tipo de procedimiento</t>
        </r>
      </text>
    </comment>
    <comment ref="E2901" authorId="2">
      <text>
        <r>
          <rPr>
            <sz val="11"/>
            <color theme="1"/>
            <rFont val="Calibri"/>
            <family val="2"/>
            <scheme val="minor"/>
          </rPr>
          <t>Seleccione un valor de la lista</t>
        </r>
      </text>
    </comment>
    <comment ref="F2901" authorId="2">
      <text>
        <r>
          <rPr>
            <sz val="11"/>
            <color theme="1"/>
            <rFont val="Calibri"/>
            <family val="2"/>
            <scheme val="minor"/>
          </rPr>
          <t>Introduzca el código SNIP</t>
        </r>
      </text>
    </comment>
    <comment ref="C2902" authorId="2">
      <text>
        <r>
          <rPr>
            <sz val="11"/>
            <color theme="1"/>
            <rFont val="Calibri"/>
            <family val="2"/>
            <scheme val="minor"/>
          </rPr>
          <t>Introduzca la fecha de inicio del proceso, en formato dd-mm-aaaa</t>
        </r>
      </text>
    </comment>
    <comment ref="F29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3" authorId="2">
      <text/>
    </comment>
    <comment ref="C2904" authorId="2">
      <text>
        <r>
          <rPr>
            <sz val="11"/>
            <color theme="1"/>
            <rFont val="Calibri"/>
            <family val="2"/>
            <scheme val="minor"/>
          </rPr>
          <t>Introduzca la fecha prevista de adjudicación, en formato dd-mm-aaaa</t>
        </r>
      </text>
    </comment>
    <comment ref="F2904" authorId="2">
      <text/>
    </comment>
    <comment ref="F2905" authorId="2">
      <text/>
    </comment>
    <comment ref="A2907" authorId="2">
      <text>
        <r>
          <rPr>
            <sz val="11"/>
            <color theme="1"/>
            <rFont val="Calibri"/>
            <family val="2"/>
            <scheme val="minor"/>
          </rPr>
          <t>Introduzca un codigo UNSPSC</t>
        </r>
      </text>
    </comment>
    <comment ref="B2907" authorId="2">
      <text>
        <r>
          <rPr>
            <sz val="11"/>
            <color theme="1"/>
            <rFont val="Calibri"/>
            <family val="2"/>
            <scheme val="minor"/>
          </rPr>
          <t>Descripción calculada automáticamente a partir de código del artículo</t>
        </r>
      </text>
    </comment>
    <comment ref="C2907" authorId="2">
      <text>
        <r>
          <rPr>
            <sz val="11"/>
            <color theme="1"/>
            <rFont val="Calibri"/>
            <family val="2"/>
            <scheme val="minor"/>
          </rPr>
          <t>Seleccione un valor de la lista</t>
        </r>
      </text>
    </comment>
    <comment ref="D2907" authorId="2">
      <text>
        <r>
          <rPr>
            <sz val="11"/>
            <color theme="1"/>
            <rFont val="Calibri"/>
            <family val="2"/>
            <scheme val="minor"/>
          </rPr>
          <t>Introduzca un número con dos decimales como máximo. Debe ser igual o mayor a la "Cantidad Real Consumida"</t>
        </r>
      </text>
    </comment>
    <comment ref="E2907" authorId="2">
      <text>
        <r>
          <rPr>
            <sz val="11"/>
            <color theme="1"/>
            <rFont val="Calibri"/>
            <family val="2"/>
            <scheme val="minor"/>
          </rPr>
          <t>Introduzca un número con dos decimales como máximo</t>
        </r>
      </text>
    </comment>
    <comment ref="F2907" authorId="2">
      <text>
        <r>
          <rPr>
            <sz val="11"/>
            <color theme="1"/>
            <rFont val="Calibri"/>
            <family val="2"/>
            <scheme val="minor"/>
          </rPr>
          <t>Monto calculado automáticamente por el sistema</t>
        </r>
      </text>
    </comment>
    <comment ref="A2912" authorId="2">
      <text>
        <r>
          <rPr>
            <sz val="11"/>
            <color theme="1"/>
            <rFont val="Calibri"/>
            <family val="2"/>
            <scheme val="minor"/>
          </rPr>
          <t>Introducir un texto con el nombre o referencia de la contratación</t>
        </r>
      </text>
    </comment>
    <comment ref="B2912" authorId="2">
      <text>
        <r>
          <rPr>
            <sz val="11"/>
            <color theme="1"/>
            <rFont val="Calibri"/>
            <family val="2"/>
            <scheme val="minor"/>
          </rPr>
          <t>Introduzca un texto con la finalidad de la contratación</t>
        </r>
      </text>
    </comment>
    <comment ref="C2912" authorId="2">
      <text>
        <r>
          <rPr>
            <sz val="11"/>
            <color theme="1"/>
            <rFont val="Calibri"/>
            <family val="2"/>
            <scheme val="minor"/>
          </rPr>
          <t>Seleccionar un valor del listado</t>
        </r>
      </text>
    </comment>
    <comment ref="D2912" authorId="2">
      <text>
        <r>
          <rPr>
            <sz val="11"/>
            <color theme="1"/>
            <rFont val="Calibri"/>
            <family val="2"/>
            <scheme val="minor"/>
          </rPr>
          <t>Seleccione el tipo de procedimiento</t>
        </r>
      </text>
    </comment>
    <comment ref="E2912" authorId="2">
      <text>
        <r>
          <rPr>
            <sz val="11"/>
            <color theme="1"/>
            <rFont val="Calibri"/>
            <family val="2"/>
            <scheme val="minor"/>
          </rPr>
          <t>Seleccione un valor de la lista</t>
        </r>
      </text>
    </comment>
    <comment ref="F2912" authorId="2">
      <text>
        <r>
          <rPr>
            <sz val="11"/>
            <color theme="1"/>
            <rFont val="Calibri"/>
            <family val="2"/>
            <scheme val="minor"/>
          </rPr>
          <t>Introduzca el código SNIP</t>
        </r>
      </text>
    </comment>
    <comment ref="C2913" authorId="2">
      <text>
        <r>
          <rPr>
            <sz val="11"/>
            <color theme="1"/>
            <rFont val="Calibri"/>
            <family val="2"/>
            <scheme val="minor"/>
          </rPr>
          <t>Introduzca la fecha de inicio del proceso, en formato dd-mm-aaaa</t>
        </r>
      </text>
    </comment>
    <comment ref="F29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4" authorId="2">
      <text/>
    </comment>
    <comment ref="C2915" authorId="2">
      <text>
        <r>
          <rPr>
            <sz val="11"/>
            <color theme="1"/>
            <rFont val="Calibri"/>
            <family val="2"/>
            <scheme val="minor"/>
          </rPr>
          <t>Introduzca la fecha prevista de adjudicación, en formato dd-mm-aaaa</t>
        </r>
      </text>
    </comment>
    <comment ref="F2915" authorId="2">
      <text/>
    </comment>
    <comment ref="F2916" authorId="2">
      <text/>
    </comment>
    <comment ref="A2918" authorId="2">
      <text>
        <r>
          <rPr>
            <sz val="11"/>
            <color theme="1"/>
            <rFont val="Calibri"/>
            <family val="2"/>
            <scheme val="minor"/>
          </rPr>
          <t>Introduzca un codigo UNSPSC</t>
        </r>
      </text>
    </comment>
    <comment ref="B2918" authorId="2">
      <text>
        <r>
          <rPr>
            <sz val="11"/>
            <color theme="1"/>
            <rFont val="Calibri"/>
            <family val="2"/>
            <scheme val="minor"/>
          </rPr>
          <t>Descripción calculada automáticamente a partir de código del artículo</t>
        </r>
      </text>
    </comment>
    <comment ref="C2918" authorId="2">
      <text>
        <r>
          <rPr>
            <sz val="11"/>
            <color theme="1"/>
            <rFont val="Calibri"/>
            <family val="2"/>
            <scheme val="minor"/>
          </rPr>
          <t>Seleccione un valor de la lista</t>
        </r>
      </text>
    </comment>
    <comment ref="D2918" authorId="2">
      <text>
        <r>
          <rPr>
            <sz val="11"/>
            <color theme="1"/>
            <rFont val="Calibri"/>
            <family val="2"/>
            <scheme val="minor"/>
          </rPr>
          <t>Introduzca un número con dos decimales como máximo. Debe ser igual o mayor a la "Cantidad Real Consumida"</t>
        </r>
      </text>
    </comment>
    <comment ref="E2918" authorId="2">
      <text>
        <r>
          <rPr>
            <sz val="11"/>
            <color theme="1"/>
            <rFont val="Calibri"/>
            <family val="2"/>
            <scheme val="minor"/>
          </rPr>
          <t>Introduzca un número con dos decimales como máximo</t>
        </r>
      </text>
    </comment>
    <comment ref="F2918" authorId="2">
      <text>
        <r>
          <rPr>
            <sz val="11"/>
            <color theme="1"/>
            <rFont val="Calibri"/>
            <family val="2"/>
            <scheme val="minor"/>
          </rPr>
          <t>Monto calculado automáticamente por el sistema</t>
        </r>
      </text>
    </comment>
    <comment ref="A2923" authorId="2">
      <text>
        <r>
          <rPr>
            <sz val="11"/>
            <color theme="1"/>
            <rFont val="Calibri"/>
            <family val="2"/>
            <scheme val="minor"/>
          </rPr>
          <t>Introducir un texto con el nombre o referencia de la contratación</t>
        </r>
      </text>
    </comment>
    <comment ref="B2923" authorId="2">
      <text>
        <r>
          <rPr>
            <sz val="11"/>
            <color theme="1"/>
            <rFont val="Calibri"/>
            <family val="2"/>
            <scheme val="minor"/>
          </rPr>
          <t>Introduzca un texto con la finalidad de la contratación</t>
        </r>
      </text>
    </comment>
    <comment ref="C2923" authorId="2">
      <text>
        <r>
          <rPr>
            <sz val="11"/>
            <color theme="1"/>
            <rFont val="Calibri"/>
            <family val="2"/>
            <scheme val="minor"/>
          </rPr>
          <t>Seleccionar un valor del listado</t>
        </r>
      </text>
    </comment>
    <comment ref="D2923" authorId="2">
      <text>
        <r>
          <rPr>
            <sz val="11"/>
            <color theme="1"/>
            <rFont val="Calibri"/>
            <family val="2"/>
            <scheme val="minor"/>
          </rPr>
          <t>Seleccione el tipo de procedimiento</t>
        </r>
      </text>
    </comment>
    <comment ref="E2923" authorId="2">
      <text>
        <r>
          <rPr>
            <sz val="11"/>
            <color theme="1"/>
            <rFont val="Calibri"/>
            <family val="2"/>
            <scheme val="minor"/>
          </rPr>
          <t>Seleccione un valor de la lista</t>
        </r>
      </text>
    </comment>
    <comment ref="F2923" authorId="2">
      <text>
        <r>
          <rPr>
            <sz val="11"/>
            <color theme="1"/>
            <rFont val="Calibri"/>
            <family val="2"/>
            <scheme val="minor"/>
          </rPr>
          <t>Introduzca el código SNIP</t>
        </r>
      </text>
    </comment>
    <comment ref="C2924" authorId="2">
      <text>
        <r>
          <rPr>
            <sz val="11"/>
            <color theme="1"/>
            <rFont val="Calibri"/>
            <family val="2"/>
            <scheme val="minor"/>
          </rPr>
          <t>Introduzca la fecha de inicio del proceso, en formato dd-mm-aaaa</t>
        </r>
      </text>
    </comment>
    <comment ref="F29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5" authorId="2">
      <text/>
    </comment>
    <comment ref="C2926" authorId="2">
      <text>
        <r>
          <rPr>
            <sz val="11"/>
            <color theme="1"/>
            <rFont val="Calibri"/>
            <family val="2"/>
            <scheme val="minor"/>
          </rPr>
          <t>Introduzca la fecha prevista de adjudicación, en formato dd-mm-aaaa</t>
        </r>
      </text>
    </comment>
    <comment ref="F2926" authorId="2">
      <text/>
    </comment>
    <comment ref="F2927" authorId="2">
      <text/>
    </comment>
    <comment ref="A2929" authorId="2">
      <text>
        <r>
          <rPr>
            <sz val="11"/>
            <color theme="1"/>
            <rFont val="Calibri"/>
            <family val="2"/>
            <scheme val="minor"/>
          </rPr>
          <t>Introduzca un codigo UNSPSC</t>
        </r>
      </text>
    </comment>
    <comment ref="B2929" authorId="2">
      <text>
        <r>
          <rPr>
            <sz val="11"/>
            <color theme="1"/>
            <rFont val="Calibri"/>
            <family val="2"/>
            <scheme val="minor"/>
          </rPr>
          <t>Descripción calculada automáticamente a partir de código del artículo</t>
        </r>
      </text>
    </comment>
    <comment ref="C2929" authorId="2">
      <text>
        <r>
          <rPr>
            <sz val="11"/>
            <color theme="1"/>
            <rFont val="Calibri"/>
            <family val="2"/>
            <scheme val="minor"/>
          </rPr>
          <t>Seleccione un valor de la lista</t>
        </r>
      </text>
    </comment>
    <comment ref="D2929" authorId="2">
      <text>
        <r>
          <rPr>
            <sz val="11"/>
            <color theme="1"/>
            <rFont val="Calibri"/>
            <family val="2"/>
            <scheme val="minor"/>
          </rPr>
          <t>Introduzca un número con dos decimales como máximo. Debe ser igual o mayor a la "Cantidad Real Consumida"</t>
        </r>
      </text>
    </comment>
    <comment ref="E2929" authorId="2">
      <text>
        <r>
          <rPr>
            <sz val="11"/>
            <color theme="1"/>
            <rFont val="Calibri"/>
            <family val="2"/>
            <scheme val="minor"/>
          </rPr>
          <t>Introduzca un número con dos decimales como máximo</t>
        </r>
      </text>
    </comment>
    <comment ref="F2929" authorId="2">
      <text>
        <r>
          <rPr>
            <sz val="11"/>
            <color theme="1"/>
            <rFont val="Calibri"/>
            <family val="2"/>
            <scheme val="minor"/>
          </rPr>
          <t>Monto calculado automáticamente por el sistema</t>
        </r>
      </text>
    </comment>
    <comment ref="A2949" authorId="2">
      <text>
        <r>
          <rPr>
            <sz val="11"/>
            <color theme="1"/>
            <rFont val="Calibri"/>
            <family val="2"/>
            <scheme val="minor"/>
          </rPr>
          <t>Introducir un texto con el nombre o referencia de la contratación</t>
        </r>
      </text>
    </comment>
    <comment ref="B2949" authorId="2">
      <text>
        <r>
          <rPr>
            <sz val="11"/>
            <color theme="1"/>
            <rFont val="Calibri"/>
            <family val="2"/>
            <scheme val="minor"/>
          </rPr>
          <t>Introduzca un texto con la finalidad de la contratación</t>
        </r>
      </text>
    </comment>
    <comment ref="C2949" authorId="2">
      <text>
        <r>
          <rPr>
            <sz val="11"/>
            <color theme="1"/>
            <rFont val="Calibri"/>
            <family val="2"/>
            <scheme val="minor"/>
          </rPr>
          <t>Seleccionar un valor del listado</t>
        </r>
      </text>
    </comment>
    <comment ref="D2949" authorId="2">
      <text>
        <r>
          <rPr>
            <sz val="11"/>
            <color theme="1"/>
            <rFont val="Calibri"/>
            <family val="2"/>
            <scheme val="minor"/>
          </rPr>
          <t>Seleccione el tipo de procedimiento</t>
        </r>
      </text>
    </comment>
    <comment ref="E2949" authorId="2">
      <text>
        <r>
          <rPr>
            <sz val="11"/>
            <color theme="1"/>
            <rFont val="Calibri"/>
            <family val="2"/>
            <scheme val="minor"/>
          </rPr>
          <t>Seleccione un valor de la lista</t>
        </r>
      </text>
    </comment>
    <comment ref="F2949" authorId="2">
      <text>
        <r>
          <rPr>
            <sz val="11"/>
            <color theme="1"/>
            <rFont val="Calibri"/>
            <family val="2"/>
            <scheme val="minor"/>
          </rPr>
          <t>Introduzca el código SNIP</t>
        </r>
      </text>
    </comment>
    <comment ref="C2950" authorId="2">
      <text>
        <r>
          <rPr>
            <sz val="11"/>
            <color theme="1"/>
            <rFont val="Calibri"/>
            <family val="2"/>
            <scheme val="minor"/>
          </rPr>
          <t>Introduzca la fecha de inicio del proceso, en formato dd-mm-aaaa</t>
        </r>
      </text>
    </comment>
    <comment ref="F29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1" authorId="2">
      <text/>
    </comment>
    <comment ref="C2952" authorId="2">
      <text>
        <r>
          <rPr>
            <sz val="11"/>
            <color theme="1"/>
            <rFont val="Calibri"/>
            <family val="2"/>
            <scheme val="minor"/>
          </rPr>
          <t>Introduzca la fecha prevista de adjudicación, en formato dd-mm-aaaa</t>
        </r>
      </text>
    </comment>
    <comment ref="F2952" authorId="2">
      <text/>
    </comment>
    <comment ref="F2953" authorId="2">
      <text/>
    </comment>
    <comment ref="A2955" authorId="2">
      <text>
        <r>
          <rPr>
            <sz val="11"/>
            <color theme="1"/>
            <rFont val="Calibri"/>
            <family val="2"/>
            <scheme val="minor"/>
          </rPr>
          <t>Introduzca un codigo UNSPSC</t>
        </r>
      </text>
    </comment>
    <comment ref="B2955" authorId="2">
      <text>
        <r>
          <rPr>
            <sz val="11"/>
            <color theme="1"/>
            <rFont val="Calibri"/>
            <family val="2"/>
            <scheme val="minor"/>
          </rPr>
          <t>Descripción calculada automáticamente a partir de código del artículo</t>
        </r>
      </text>
    </comment>
    <comment ref="C2955" authorId="2">
      <text>
        <r>
          <rPr>
            <sz val="11"/>
            <color theme="1"/>
            <rFont val="Calibri"/>
            <family val="2"/>
            <scheme val="minor"/>
          </rPr>
          <t>Seleccione un valor de la lista</t>
        </r>
      </text>
    </comment>
    <comment ref="D2955" authorId="2">
      <text>
        <r>
          <rPr>
            <sz val="11"/>
            <color theme="1"/>
            <rFont val="Calibri"/>
            <family val="2"/>
            <scheme val="minor"/>
          </rPr>
          <t>Introduzca un número con dos decimales como máximo. Debe ser igual o mayor a la "Cantidad Real Consumida"</t>
        </r>
      </text>
    </comment>
    <comment ref="E2955" authorId="2">
      <text>
        <r>
          <rPr>
            <sz val="11"/>
            <color theme="1"/>
            <rFont val="Calibri"/>
            <family val="2"/>
            <scheme val="minor"/>
          </rPr>
          <t>Introduzca un número con dos decimales como máximo</t>
        </r>
      </text>
    </comment>
    <comment ref="F2955" authorId="2">
      <text>
        <r>
          <rPr>
            <sz val="11"/>
            <color theme="1"/>
            <rFont val="Calibri"/>
            <family val="2"/>
            <scheme val="minor"/>
          </rPr>
          <t>Monto calculado automáticamente por el sistema</t>
        </r>
      </text>
    </comment>
    <comment ref="A2970" authorId="2">
      <text>
        <r>
          <rPr>
            <sz val="11"/>
            <color theme="1"/>
            <rFont val="Calibri"/>
            <family val="2"/>
            <scheme val="minor"/>
          </rPr>
          <t>Introducir un texto con el nombre o referencia de la contratación</t>
        </r>
      </text>
    </comment>
    <comment ref="B2970" authorId="2">
      <text>
        <r>
          <rPr>
            <sz val="11"/>
            <color theme="1"/>
            <rFont val="Calibri"/>
            <family val="2"/>
            <scheme val="minor"/>
          </rPr>
          <t>Introduzca un texto con la finalidad de la contratación</t>
        </r>
      </text>
    </comment>
    <comment ref="C2970" authorId="2">
      <text>
        <r>
          <rPr>
            <sz val="11"/>
            <color theme="1"/>
            <rFont val="Calibri"/>
            <family val="2"/>
            <scheme val="minor"/>
          </rPr>
          <t>Seleccionar un valor del listado</t>
        </r>
      </text>
    </comment>
    <comment ref="D2970" authorId="2">
      <text>
        <r>
          <rPr>
            <sz val="11"/>
            <color theme="1"/>
            <rFont val="Calibri"/>
            <family val="2"/>
            <scheme val="minor"/>
          </rPr>
          <t>Seleccione el tipo de procedimiento</t>
        </r>
      </text>
    </comment>
    <comment ref="E2970" authorId="2">
      <text>
        <r>
          <rPr>
            <sz val="11"/>
            <color theme="1"/>
            <rFont val="Calibri"/>
            <family val="2"/>
            <scheme val="minor"/>
          </rPr>
          <t>Seleccione un valor de la lista</t>
        </r>
      </text>
    </comment>
    <comment ref="F2970" authorId="2">
      <text>
        <r>
          <rPr>
            <sz val="11"/>
            <color theme="1"/>
            <rFont val="Calibri"/>
            <family val="2"/>
            <scheme val="minor"/>
          </rPr>
          <t>Introduzca el código SNIP</t>
        </r>
      </text>
    </comment>
    <comment ref="C2971" authorId="2">
      <text>
        <r>
          <rPr>
            <sz val="11"/>
            <color theme="1"/>
            <rFont val="Calibri"/>
            <family val="2"/>
            <scheme val="minor"/>
          </rPr>
          <t>Introduzca la fecha de inicio del proceso, en formato dd-mm-aaaa</t>
        </r>
      </text>
    </comment>
    <comment ref="F29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2" authorId="2">
      <text/>
    </comment>
    <comment ref="C2973" authorId="2">
      <text>
        <r>
          <rPr>
            <sz val="11"/>
            <color theme="1"/>
            <rFont val="Calibri"/>
            <family val="2"/>
            <scheme val="minor"/>
          </rPr>
          <t>Introduzca la fecha prevista de adjudicación, en formato dd-mm-aaaa</t>
        </r>
      </text>
    </comment>
    <comment ref="F2973" authorId="2">
      <text/>
    </comment>
    <comment ref="F2974" authorId="2">
      <text/>
    </comment>
    <comment ref="A2976" authorId="2">
      <text>
        <r>
          <rPr>
            <sz val="11"/>
            <color theme="1"/>
            <rFont val="Calibri"/>
            <family val="2"/>
            <scheme val="minor"/>
          </rPr>
          <t>Introduzca un codigo UNSPSC</t>
        </r>
      </text>
    </comment>
    <comment ref="B2976" authorId="2">
      <text>
        <r>
          <rPr>
            <sz val="11"/>
            <color theme="1"/>
            <rFont val="Calibri"/>
            <family val="2"/>
            <scheme val="minor"/>
          </rPr>
          <t>Descripción calculada automáticamente a partir de código del artículo</t>
        </r>
      </text>
    </comment>
    <comment ref="C2976" authorId="2">
      <text>
        <r>
          <rPr>
            <sz val="11"/>
            <color theme="1"/>
            <rFont val="Calibri"/>
            <family val="2"/>
            <scheme val="minor"/>
          </rPr>
          <t>Seleccione un valor de la lista</t>
        </r>
      </text>
    </comment>
    <comment ref="D2976" authorId="2">
      <text>
        <r>
          <rPr>
            <sz val="11"/>
            <color theme="1"/>
            <rFont val="Calibri"/>
            <family val="2"/>
            <scheme val="minor"/>
          </rPr>
          <t>Introduzca un número con dos decimales como máximo. Debe ser igual o mayor a la "Cantidad Real Consumida"</t>
        </r>
      </text>
    </comment>
    <comment ref="E2976" authorId="2">
      <text>
        <r>
          <rPr>
            <sz val="11"/>
            <color theme="1"/>
            <rFont val="Calibri"/>
            <family val="2"/>
            <scheme val="minor"/>
          </rPr>
          <t>Introduzca un número con dos decimales como máximo</t>
        </r>
      </text>
    </comment>
    <comment ref="F2976" authorId="2">
      <text>
        <r>
          <rPr>
            <sz val="11"/>
            <color theme="1"/>
            <rFont val="Calibri"/>
            <family val="2"/>
            <scheme val="minor"/>
          </rPr>
          <t>Monto calculado automáticamente por el sistema</t>
        </r>
      </text>
    </comment>
    <comment ref="A2982" authorId="2">
      <text>
        <r>
          <rPr>
            <sz val="11"/>
            <color theme="1"/>
            <rFont val="Calibri"/>
            <family val="2"/>
            <scheme val="minor"/>
          </rPr>
          <t>Introducir un texto con el nombre o referencia de la contratación</t>
        </r>
      </text>
    </comment>
    <comment ref="B2982" authorId="2">
      <text>
        <r>
          <rPr>
            <sz val="11"/>
            <color theme="1"/>
            <rFont val="Calibri"/>
            <family val="2"/>
            <scheme val="minor"/>
          </rPr>
          <t>Introduzca un texto con la finalidad de la contratación</t>
        </r>
      </text>
    </comment>
    <comment ref="C2982" authorId="2">
      <text>
        <r>
          <rPr>
            <sz val="11"/>
            <color theme="1"/>
            <rFont val="Calibri"/>
            <family val="2"/>
            <scheme val="minor"/>
          </rPr>
          <t>Seleccionar un valor del listado</t>
        </r>
      </text>
    </comment>
    <comment ref="D2982" authorId="2">
      <text>
        <r>
          <rPr>
            <sz val="11"/>
            <color theme="1"/>
            <rFont val="Calibri"/>
            <family val="2"/>
            <scheme val="minor"/>
          </rPr>
          <t>Seleccione el tipo de procedimiento</t>
        </r>
      </text>
    </comment>
    <comment ref="E2982" authorId="2">
      <text>
        <r>
          <rPr>
            <sz val="11"/>
            <color theme="1"/>
            <rFont val="Calibri"/>
            <family val="2"/>
            <scheme val="minor"/>
          </rPr>
          <t>Seleccione un valor de la lista</t>
        </r>
      </text>
    </comment>
    <comment ref="F2982" authorId="2">
      <text>
        <r>
          <rPr>
            <sz val="11"/>
            <color theme="1"/>
            <rFont val="Calibri"/>
            <family val="2"/>
            <scheme val="minor"/>
          </rPr>
          <t>Introduzca el código SNIP</t>
        </r>
      </text>
    </comment>
    <comment ref="C2983" authorId="2">
      <text>
        <r>
          <rPr>
            <sz val="11"/>
            <color theme="1"/>
            <rFont val="Calibri"/>
            <family val="2"/>
            <scheme val="minor"/>
          </rPr>
          <t>Introduzca la fecha de inicio del proceso, en formato dd-mm-aaaa</t>
        </r>
      </text>
    </comment>
    <comment ref="F29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4" authorId="2">
      <text/>
    </comment>
    <comment ref="C2985" authorId="2">
      <text>
        <r>
          <rPr>
            <sz val="11"/>
            <color theme="1"/>
            <rFont val="Calibri"/>
            <family val="2"/>
            <scheme val="minor"/>
          </rPr>
          <t>Introduzca la fecha prevista de adjudicación, en formato dd-mm-aaaa</t>
        </r>
      </text>
    </comment>
    <comment ref="F2985" authorId="2">
      <text/>
    </comment>
    <comment ref="F2986" authorId="2">
      <text/>
    </comment>
    <comment ref="A2988" authorId="2">
      <text>
        <r>
          <rPr>
            <sz val="11"/>
            <color theme="1"/>
            <rFont val="Calibri"/>
            <family val="2"/>
            <scheme val="minor"/>
          </rPr>
          <t>Introduzca un codigo UNSPSC</t>
        </r>
      </text>
    </comment>
    <comment ref="B2988" authorId="2">
      <text>
        <r>
          <rPr>
            <sz val="11"/>
            <color theme="1"/>
            <rFont val="Calibri"/>
            <family val="2"/>
            <scheme val="minor"/>
          </rPr>
          <t>Descripción calculada automáticamente a partir de código del artículo</t>
        </r>
      </text>
    </comment>
    <comment ref="C2988" authorId="2">
      <text>
        <r>
          <rPr>
            <sz val="11"/>
            <color theme="1"/>
            <rFont val="Calibri"/>
            <family val="2"/>
            <scheme val="minor"/>
          </rPr>
          <t>Seleccione un valor de la lista</t>
        </r>
      </text>
    </comment>
    <comment ref="D2988" authorId="2">
      <text>
        <r>
          <rPr>
            <sz val="11"/>
            <color theme="1"/>
            <rFont val="Calibri"/>
            <family val="2"/>
            <scheme val="minor"/>
          </rPr>
          <t>Introduzca un número con dos decimales como máximo. Debe ser igual o mayor a la "Cantidad Real Consumida"</t>
        </r>
      </text>
    </comment>
    <comment ref="E2988" authorId="2">
      <text>
        <r>
          <rPr>
            <sz val="11"/>
            <color theme="1"/>
            <rFont val="Calibri"/>
            <family val="2"/>
            <scheme val="minor"/>
          </rPr>
          <t>Introduzca un número con dos decimales como máximo</t>
        </r>
      </text>
    </comment>
    <comment ref="F2988" authorId="2">
      <text>
        <r>
          <rPr>
            <sz val="11"/>
            <color theme="1"/>
            <rFont val="Calibri"/>
            <family val="2"/>
            <scheme val="minor"/>
          </rPr>
          <t>Monto calculado automáticamente por el sistema</t>
        </r>
      </text>
    </comment>
    <comment ref="A2994" authorId="2">
      <text>
        <r>
          <rPr>
            <sz val="11"/>
            <color theme="1"/>
            <rFont val="Calibri"/>
            <family val="2"/>
            <scheme val="minor"/>
          </rPr>
          <t>Introducir un texto con el nombre o referencia de la contratación</t>
        </r>
      </text>
    </comment>
    <comment ref="B2994" authorId="2">
      <text>
        <r>
          <rPr>
            <sz val="11"/>
            <color theme="1"/>
            <rFont val="Calibri"/>
            <family val="2"/>
            <scheme val="minor"/>
          </rPr>
          <t>Introduzca un texto con la finalidad de la contratación</t>
        </r>
      </text>
    </comment>
    <comment ref="C2994" authorId="2">
      <text>
        <r>
          <rPr>
            <sz val="11"/>
            <color theme="1"/>
            <rFont val="Calibri"/>
            <family val="2"/>
            <scheme val="minor"/>
          </rPr>
          <t>Seleccionar un valor del listado</t>
        </r>
      </text>
    </comment>
    <comment ref="D2994" authorId="2">
      <text>
        <r>
          <rPr>
            <sz val="11"/>
            <color theme="1"/>
            <rFont val="Calibri"/>
            <family val="2"/>
            <scheme val="minor"/>
          </rPr>
          <t>Seleccione el tipo de procedimiento</t>
        </r>
      </text>
    </comment>
    <comment ref="E2994" authorId="2">
      <text>
        <r>
          <rPr>
            <sz val="11"/>
            <color theme="1"/>
            <rFont val="Calibri"/>
            <family val="2"/>
            <scheme val="minor"/>
          </rPr>
          <t>Seleccione un valor de la lista</t>
        </r>
      </text>
    </comment>
    <comment ref="F2994" authorId="2">
      <text>
        <r>
          <rPr>
            <sz val="11"/>
            <color theme="1"/>
            <rFont val="Calibri"/>
            <family val="2"/>
            <scheme val="minor"/>
          </rPr>
          <t>Introduzca el código SNIP</t>
        </r>
      </text>
    </comment>
    <comment ref="C2995" authorId="2">
      <text>
        <r>
          <rPr>
            <sz val="11"/>
            <color theme="1"/>
            <rFont val="Calibri"/>
            <family val="2"/>
            <scheme val="minor"/>
          </rPr>
          <t>Introduzca la fecha de inicio del proceso, en formato dd-mm-aaaa</t>
        </r>
      </text>
    </comment>
    <comment ref="F29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6" authorId="2">
      <text/>
    </comment>
    <comment ref="C2997" authorId="2">
      <text>
        <r>
          <rPr>
            <sz val="11"/>
            <color theme="1"/>
            <rFont val="Calibri"/>
            <family val="2"/>
            <scheme val="minor"/>
          </rPr>
          <t>Introduzca la fecha prevista de adjudicación, en formato dd-mm-aaaa</t>
        </r>
      </text>
    </comment>
    <comment ref="F2997" authorId="2">
      <text/>
    </comment>
    <comment ref="F2998" authorId="2">
      <text/>
    </comment>
    <comment ref="A3000" authorId="2">
      <text>
        <r>
          <rPr>
            <sz val="11"/>
            <color theme="1"/>
            <rFont val="Calibri"/>
            <family val="2"/>
            <scheme val="minor"/>
          </rPr>
          <t>Introduzca un codigo UNSPSC</t>
        </r>
      </text>
    </comment>
    <comment ref="B3000" authorId="2">
      <text>
        <r>
          <rPr>
            <sz val="11"/>
            <color theme="1"/>
            <rFont val="Calibri"/>
            <family val="2"/>
            <scheme val="minor"/>
          </rPr>
          <t>Descripción calculada automáticamente a partir de código del artículo</t>
        </r>
      </text>
    </comment>
    <comment ref="C3000" authorId="2">
      <text>
        <r>
          <rPr>
            <sz val="11"/>
            <color theme="1"/>
            <rFont val="Calibri"/>
            <family val="2"/>
            <scheme val="minor"/>
          </rPr>
          <t>Seleccione un valor de la lista</t>
        </r>
      </text>
    </comment>
    <comment ref="D3000" authorId="2">
      <text>
        <r>
          <rPr>
            <sz val="11"/>
            <color theme="1"/>
            <rFont val="Calibri"/>
            <family val="2"/>
            <scheme val="minor"/>
          </rPr>
          <t>Introduzca un número con dos decimales como máximo. Debe ser igual o mayor a la "Cantidad Real Consumida"</t>
        </r>
      </text>
    </comment>
    <comment ref="E3000" authorId="2">
      <text>
        <r>
          <rPr>
            <sz val="11"/>
            <color theme="1"/>
            <rFont val="Calibri"/>
            <family val="2"/>
            <scheme val="minor"/>
          </rPr>
          <t>Introduzca un número con dos decimales como máximo</t>
        </r>
      </text>
    </comment>
    <comment ref="F3000" authorId="2">
      <text>
        <r>
          <rPr>
            <sz val="11"/>
            <color theme="1"/>
            <rFont val="Calibri"/>
            <family val="2"/>
            <scheme val="minor"/>
          </rPr>
          <t>Monto calculado automáticamente por el sistema</t>
        </r>
      </text>
    </comment>
    <comment ref="A3005" authorId="2">
      <text>
        <r>
          <rPr>
            <sz val="11"/>
            <color theme="1"/>
            <rFont val="Calibri"/>
            <family val="2"/>
            <scheme val="minor"/>
          </rPr>
          <t>Introducir un texto con el nombre o referencia de la contratación</t>
        </r>
      </text>
    </comment>
    <comment ref="B3005" authorId="2">
      <text>
        <r>
          <rPr>
            <sz val="11"/>
            <color theme="1"/>
            <rFont val="Calibri"/>
            <family val="2"/>
            <scheme val="minor"/>
          </rPr>
          <t>Introduzca un texto con la finalidad de la contratación</t>
        </r>
      </text>
    </comment>
    <comment ref="C3005" authorId="2">
      <text>
        <r>
          <rPr>
            <sz val="11"/>
            <color theme="1"/>
            <rFont val="Calibri"/>
            <family val="2"/>
            <scheme val="minor"/>
          </rPr>
          <t>Seleccionar un valor del listado</t>
        </r>
      </text>
    </comment>
    <comment ref="D3005" authorId="2">
      <text>
        <r>
          <rPr>
            <sz val="11"/>
            <color theme="1"/>
            <rFont val="Calibri"/>
            <family val="2"/>
            <scheme val="minor"/>
          </rPr>
          <t>Seleccione el tipo de procedimiento</t>
        </r>
      </text>
    </comment>
    <comment ref="E3005" authorId="2">
      <text>
        <r>
          <rPr>
            <sz val="11"/>
            <color theme="1"/>
            <rFont val="Calibri"/>
            <family val="2"/>
            <scheme val="minor"/>
          </rPr>
          <t>Seleccione un valor de la lista</t>
        </r>
      </text>
    </comment>
    <comment ref="F3005" authorId="2">
      <text>
        <r>
          <rPr>
            <sz val="11"/>
            <color theme="1"/>
            <rFont val="Calibri"/>
            <family val="2"/>
            <scheme val="minor"/>
          </rPr>
          <t>Introduzca el código SNIP</t>
        </r>
      </text>
    </comment>
    <comment ref="C3006" authorId="2">
      <text>
        <r>
          <rPr>
            <sz val="11"/>
            <color theme="1"/>
            <rFont val="Calibri"/>
            <family val="2"/>
            <scheme val="minor"/>
          </rPr>
          <t>Introduzca la fecha de inicio del proceso, en formato dd-mm-aaaa</t>
        </r>
      </text>
    </comment>
    <comment ref="F30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7" authorId="2">
      <text/>
    </comment>
    <comment ref="C3008" authorId="2">
      <text>
        <r>
          <rPr>
            <sz val="11"/>
            <color theme="1"/>
            <rFont val="Calibri"/>
            <family val="2"/>
            <scheme val="minor"/>
          </rPr>
          <t>Introduzca la fecha prevista de adjudicación, en formato dd-mm-aaaa</t>
        </r>
      </text>
    </comment>
    <comment ref="F3008" authorId="2">
      <text/>
    </comment>
    <comment ref="F3009" authorId="2">
      <text/>
    </comment>
    <comment ref="A3011" authorId="2">
      <text>
        <r>
          <rPr>
            <sz val="11"/>
            <color theme="1"/>
            <rFont val="Calibri"/>
            <family val="2"/>
            <scheme val="minor"/>
          </rPr>
          <t>Introduzca un codigo UNSPSC</t>
        </r>
      </text>
    </comment>
    <comment ref="B3011" authorId="2">
      <text>
        <r>
          <rPr>
            <sz val="11"/>
            <color theme="1"/>
            <rFont val="Calibri"/>
            <family val="2"/>
            <scheme val="minor"/>
          </rPr>
          <t>Descripción calculada automáticamente a partir de código del artículo</t>
        </r>
      </text>
    </comment>
    <comment ref="C3011" authorId="2">
      <text>
        <r>
          <rPr>
            <sz val="11"/>
            <color theme="1"/>
            <rFont val="Calibri"/>
            <family val="2"/>
            <scheme val="minor"/>
          </rPr>
          <t>Seleccione un valor de la lista</t>
        </r>
      </text>
    </comment>
    <comment ref="D3011" authorId="2">
      <text>
        <r>
          <rPr>
            <sz val="11"/>
            <color theme="1"/>
            <rFont val="Calibri"/>
            <family val="2"/>
            <scheme val="minor"/>
          </rPr>
          <t>Introduzca un número con dos decimales como máximo. Debe ser igual o mayor a la "Cantidad Real Consumida"</t>
        </r>
      </text>
    </comment>
    <comment ref="E3011" authorId="2">
      <text>
        <r>
          <rPr>
            <sz val="11"/>
            <color theme="1"/>
            <rFont val="Calibri"/>
            <family val="2"/>
            <scheme val="minor"/>
          </rPr>
          <t>Introduzca un número con dos decimales como máximo</t>
        </r>
      </text>
    </comment>
    <comment ref="F3011" authorId="2">
      <text>
        <r>
          <rPr>
            <sz val="11"/>
            <color theme="1"/>
            <rFont val="Calibri"/>
            <family val="2"/>
            <scheme val="minor"/>
          </rPr>
          <t>Monto calculado automáticamente por el sistema</t>
        </r>
      </text>
    </comment>
    <comment ref="A3016" authorId="2">
      <text>
        <r>
          <rPr>
            <sz val="11"/>
            <color theme="1"/>
            <rFont val="Calibri"/>
            <family val="2"/>
            <scheme val="minor"/>
          </rPr>
          <t>Introducir un texto con el nombre o referencia de la contratación</t>
        </r>
      </text>
    </comment>
    <comment ref="B3016" authorId="2">
      <text>
        <r>
          <rPr>
            <sz val="11"/>
            <color theme="1"/>
            <rFont val="Calibri"/>
            <family val="2"/>
            <scheme val="minor"/>
          </rPr>
          <t>Introduzca un texto con la finalidad de la contratación</t>
        </r>
      </text>
    </comment>
    <comment ref="C3016" authorId="2">
      <text>
        <r>
          <rPr>
            <sz val="11"/>
            <color theme="1"/>
            <rFont val="Calibri"/>
            <family val="2"/>
            <scheme val="minor"/>
          </rPr>
          <t>Seleccionar un valor del listado</t>
        </r>
      </text>
    </comment>
    <comment ref="D3016" authorId="2">
      <text>
        <r>
          <rPr>
            <sz val="11"/>
            <color theme="1"/>
            <rFont val="Calibri"/>
            <family val="2"/>
            <scheme val="minor"/>
          </rPr>
          <t>Seleccione el tipo de procedimiento</t>
        </r>
      </text>
    </comment>
    <comment ref="E3016" authorId="2">
      <text>
        <r>
          <rPr>
            <sz val="11"/>
            <color theme="1"/>
            <rFont val="Calibri"/>
            <family val="2"/>
            <scheme val="minor"/>
          </rPr>
          <t>Seleccione un valor de la lista</t>
        </r>
      </text>
    </comment>
    <comment ref="F3016" authorId="2">
      <text>
        <r>
          <rPr>
            <sz val="11"/>
            <color theme="1"/>
            <rFont val="Calibri"/>
            <family val="2"/>
            <scheme val="minor"/>
          </rPr>
          <t>Introduzca el código SNIP</t>
        </r>
      </text>
    </comment>
    <comment ref="C3017" authorId="2">
      <text>
        <r>
          <rPr>
            <sz val="11"/>
            <color theme="1"/>
            <rFont val="Calibri"/>
            <family val="2"/>
            <scheme val="minor"/>
          </rPr>
          <t>Introduzca la fecha de inicio del proceso, en formato dd-mm-aaaa</t>
        </r>
      </text>
    </comment>
    <comment ref="F30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8" authorId="2">
      <text/>
    </comment>
    <comment ref="C3019" authorId="2">
      <text>
        <r>
          <rPr>
            <sz val="11"/>
            <color theme="1"/>
            <rFont val="Calibri"/>
            <family val="2"/>
            <scheme val="minor"/>
          </rPr>
          <t>Introduzca la fecha prevista de adjudicación, en formato dd-mm-aaaa</t>
        </r>
      </text>
    </comment>
    <comment ref="F3019" authorId="2">
      <text/>
    </comment>
    <comment ref="F3020" authorId="2">
      <text/>
    </comment>
    <comment ref="A3022" authorId="2">
      <text>
        <r>
          <rPr>
            <sz val="11"/>
            <color theme="1"/>
            <rFont val="Calibri"/>
            <family val="2"/>
            <scheme val="minor"/>
          </rPr>
          <t>Introduzca un codigo UNSPSC</t>
        </r>
      </text>
    </comment>
    <comment ref="B3022" authorId="2">
      <text>
        <r>
          <rPr>
            <sz val="11"/>
            <color theme="1"/>
            <rFont val="Calibri"/>
            <family val="2"/>
            <scheme val="minor"/>
          </rPr>
          <t>Descripción calculada automáticamente a partir de código del artículo</t>
        </r>
      </text>
    </comment>
    <comment ref="C3022" authorId="2">
      <text>
        <r>
          <rPr>
            <sz val="11"/>
            <color theme="1"/>
            <rFont val="Calibri"/>
            <family val="2"/>
            <scheme val="minor"/>
          </rPr>
          <t>Seleccione un valor de la lista</t>
        </r>
      </text>
    </comment>
    <comment ref="D3022" authorId="2">
      <text>
        <r>
          <rPr>
            <sz val="11"/>
            <color theme="1"/>
            <rFont val="Calibri"/>
            <family val="2"/>
            <scheme val="minor"/>
          </rPr>
          <t>Introduzca un número con dos decimales como máximo. Debe ser igual o mayor a la "Cantidad Real Consumida"</t>
        </r>
      </text>
    </comment>
    <comment ref="E3022" authorId="2">
      <text>
        <r>
          <rPr>
            <sz val="11"/>
            <color theme="1"/>
            <rFont val="Calibri"/>
            <family val="2"/>
            <scheme val="minor"/>
          </rPr>
          <t>Introduzca un número con dos decimales como máximo</t>
        </r>
      </text>
    </comment>
    <comment ref="F3022" authorId="2">
      <text>
        <r>
          <rPr>
            <sz val="11"/>
            <color theme="1"/>
            <rFont val="Calibri"/>
            <family val="2"/>
            <scheme val="minor"/>
          </rPr>
          <t>Monto calculado automáticamente por el sistema</t>
        </r>
      </text>
    </comment>
    <comment ref="A3027" authorId="2">
      <text>
        <r>
          <rPr>
            <sz val="11"/>
            <color theme="1"/>
            <rFont val="Calibri"/>
            <family val="2"/>
            <scheme val="minor"/>
          </rPr>
          <t>Introducir un texto con el nombre o referencia de la contratación</t>
        </r>
      </text>
    </comment>
    <comment ref="B3027" authorId="2">
      <text>
        <r>
          <rPr>
            <sz val="11"/>
            <color theme="1"/>
            <rFont val="Calibri"/>
            <family val="2"/>
            <scheme val="minor"/>
          </rPr>
          <t>Introduzca un texto con la finalidad de la contratación</t>
        </r>
      </text>
    </comment>
    <comment ref="C3027" authorId="2">
      <text>
        <r>
          <rPr>
            <sz val="11"/>
            <color theme="1"/>
            <rFont val="Calibri"/>
            <family val="2"/>
            <scheme val="minor"/>
          </rPr>
          <t>Seleccionar un valor del listado</t>
        </r>
      </text>
    </comment>
    <comment ref="D3027" authorId="2">
      <text>
        <r>
          <rPr>
            <sz val="11"/>
            <color theme="1"/>
            <rFont val="Calibri"/>
            <family val="2"/>
            <scheme val="minor"/>
          </rPr>
          <t>Seleccione el tipo de procedimiento</t>
        </r>
      </text>
    </comment>
    <comment ref="E3027" authorId="2">
      <text>
        <r>
          <rPr>
            <sz val="11"/>
            <color theme="1"/>
            <rFont val="Calibri"/>
            <family val="2"/>
            <scheme val="minor"/>
          </rPr>
          <t>Seleccione un valor de la lista</t>
        </r>
      </text>
    </comment>
    <comment ref="F3027" authorId="2">
      <text>
        <r>
          <rPr>
            <sz val="11"/>
            <color theme="1"/>
            <rFont val="Calibri"/>
            <family val="2"/>
            <scheme val="minor"/>
          </rPr>
          <t>Introduzca el código SNIP</t>
        </r>
      </text>
    </comment>
    <comment ref="C3028" authorId="2">
      <text>
        <r>
          <rPr>
            <sz val="11"/>
            <color theme="1"/>
            <rFont val="Calibri"/>
            <family val="2"/>
            <scheme val="minor"/>
          </rPr>
          <t>Introduzca la fecha de inicio del proceso, en formato dd-mm-aaaa</t>
        </r>
      </text>
    </comment>
    <comment ref="F30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9" authorId="2">
      <text/>
    </comment>
    <comment ref="C3030" authorId="2">
      <text>
        <r>
          <rPr>
            <sz val="11"/>
            <color theme="1"/>
            <rFont val="Calibri"/>
            <family val="2"/>
            <scheme val="minor"/>
          </rPr>
          <t>Introduzca la fecha prevista de adjudicación, en formato dd-mm-aaaa</t>
        </r>
      </text>
    </comment>
    <comment ref="F3030" authorId="2">
      <text/>
    </comment>
    <comment ref="F3031" authorId="2">
      <text/>
    </comment>
    <comment ref="A3033" authorId="2">
      <text>
        <r>
          <rPr>
            <sz val="11"/>
            <color theme="1"/>
            <rFont val="Calibri"/>
            <family val="2"/>
            <scheme val="minor"/>
          </rPr>
          <t>Introduzca un codigo UNSPSC</t>
        </r>
      </text>
    </comment>
    <comment ref="B3033" authorId="2">
      <text>
        <r>
          <rPr>
            <sz val="11"/>
            <color theme="1"/>
            <rFont val="Calibri"/>
            <family val="2"/>
            <scheme val="minor"/>
          </rPr>
          <t>Descripción calculada automáticamente a partir de código del artículo</t>
        </r>
      </text>
    </comment>
    <comment ref="C3033" authorId="2">
      <text>
        <r>
          <rPr>
            <sz val="11"/>
            <color theme="1"/>
            <rFont val="Calibri"/>
            <family val="2"/>
            <scheme val="minor"/>
          </rPr>
          <t>Seleccione un valor de la lista</t>
        </r>
      </text>
    </comment>
    <comment ref="D3033" authorId="2">
      <text>
        <r>
          <rPr>
            <sz val="11"/>
            <color theme="1"/>
            <rFont val="Calibri"/>
            <family val="2"/>
            <scheme val="minor"/>
          </rPr>
          <t>Introduzca un número con dos decimales como máximo. Debe ser igual o mayor a la "Cantidad Real Consumida"</t>
        </r>
      </text>
    </comment>
    <comment ref="E3033" authorId="2">
      <text>
        <r>
          <rPr>
            <sz val="11"/>
            <color theme="1"/>
            <rFont val="Calibri"/>
            <family val="2"/>
            <scheme val="minor"/>
          </rPr>
          <t>Introduzca un número con dos decimales como máximo</t>
        </r>
      </text>
    </comment>
    <comment ref="F3033" authorId="2">
      <text>
        <r>
          <rPr>
            <sz val="11"/>
            <color theme="1"/>
            <rFont val="Calibri"/>
            <family val="2"/>
            <scheme val="minor"/>
          </rPr>
          <t>Monto calculado automáticamente por el sistema</t>
        </r>
      </text>
    </comment>
    <comment ref="A3038" authorId="2">
      <text>
        <r>
          <rPr>
            <sz val="11"/>
            <color theme="1"/>
            <rFont val="Calibri"/>
            <family val="2"/>
            <scheme val="minor"/>
          </rPr>
          <t>Introducir un texto con el nombre o referencia de la contratación</t>
        </r>
      </text>
    </comment>
    <comment ref="B3038" authorId="2">
      <text>
        <r>
          <rPr>
            <sz val="11"/>
            <color theme="1"/>
            <rFont val="Calibri"/>
            <family val="2"/>
            <scheme val="minor"/>
          </rPr>
          <t>Introduzca un texto con la finalidad de la contratación</t>
        </r>
      </text>
    </comment>
    <comment ref="C3038" authorId="2">
      <text>
        <r>
          <rPr>
            <sz val="11"/>
            <color theme="1"/>
            <rFont val="Calibri"/>
            <family val="2"/>
            <scheme val="minor"/>
          </rPr>
          <t>Seleccionar un valor del listado</t>
        </r>
      </text>
    </comment>
    <comment ref="D3038" authorId="2">
      <text>
        <r>
          <rPr>
            <sz val="11"/>
            <color theme="1"/>
            <rFont val="Calibri"/>
            <family val="2"/>
            <scheme val="minor"/>
          </rPr>
          <t>Seleccione el tipo de procedimiento</t>
        </r>
      </text>
    </comment>
    <comment ref="E3038" authorId="2">
      <text>
        <r>
          <rPr>
            <sz val="11"/>
            <color theme="1"/>
            <rFont val="Calibri"/>
            <family val="2"/>
            <scheme val="minor"/>
          </rPr>
          <t>Seleccione un valor de la lista</t>
        </r>
      </text>
    </comment>
    <comment ref="F3038" authorId="2">
      <text>
        <r>
          <rPr>
            <sz val="11"/>
            <color theme="1"/>
            <rFont val="Calibri"/>
            <family val="2"/>
            <scheme val="minor"/>
          </rPr>
          <t>Introduzca el código SNIP</t>
        </r>
      </text>
    </comment>
    <comment ref="C3039" authorId="2">
      <text>
        <r>
          <rPr>
            <sz val="11"/>
            <color theme="1"/>
            <rFont val="Calibri"/>
            <family val="2"/>
            <scheme val="minor"/>
          </rPr>
          <t>Introduzca la fecha de inicio del proceso, en formato dd-mm-aaaa</t>
        </r>
      </text>
    </comment>
    <comment ref="F30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0" authorId="2">
      <text/>
    </comment>
    <comment ref="C3041" authorId="2">
      <text>
        <r>
          <rPr>
            <sz val="11"/>
            <color theme="1"/>
            <rFont val="Calibri"/>
            <family val="2"/>
            <scheme val="minor"/>
          </rPr>
          <t>Introduzca la fecha prevista de adjudicación, en formato dd-mm-aaaa</t>
        </r>
      </text>
    </comment>
    <comment ref="F3041" authorId="2">
      <text/>
    </comment>
    <comment ref="F3042" authorId="2">
      <text/>
    </comment>
    <comment ref="A3044" authorId="2">
      <text>
        <r>
          <rPr>
            <sz val="11"/>
            <color theme="1"/>
            <rFont val="Calibri"/>
            <family val="2"/>
            <scheme val="minor"/>
          </rPr>
          <t>Introduzca un codigo UNSPSC</t>
        </r>
      </text>
    </comment>
    <comment ref="B3044" authorId="2">
      <text>
        <r>
          <rPr>
            <sz val="11"/>
            <color theme="1"/>
            <rFont val="Calibri"/>
            <family val="2"/>
            <scheme val="minor"/>
          </rPr>
          <t>Descripción calculada automáticamente a partir de código del artículo</t>
        </r>
      </text>
    </comment>
    <comment ref="C3044" authorId="2">
      <text>
        <r>
          <rPr>
            <sz val="11"/>
            <color theme="1"/>
            <rFont val="Calibri"/>
            <family val="2"/>
            <scheme val="minor"/>
          </rPr>
          <t>Seleccione un valor de la lista</t>
        </r>
      </text>
    </comment>
    <comment ref="D3044" authorId="2">
      <text>
        <r>
          <rPr>
            <sz val="11"/>
            <color theme="1"/>
            <rFont val="Calibri"/>
            <family val="2"/>
            <scheme val="minor"/>
          </rPr>
          <t>Introduzca un número con dos decimales como máximo. Debe ser igual o mayor a la "Cantidad Real Consumida"</t>
        </r>
      </text>
    </comment>
    <comment ref="E3044" authorId="2">
      <text>
        <r>
          <rPr>
            <sz val="11"/>
            <color theme="1"/>
            <rFont val="Calibri"/>
            <family val="2"/>
            <scheme val="minor"/>
          </rPr>
          <t>Introduzca un número con dos decimales como máximo</t>
        </r>
      </text>
    </comment>
    <comment ref="F3044" authorId="2">
      <text>
        <r>
          <rPr>
            <sz val="11"/>
            <color theme="1"/>
            <rFont val="Calibri"/>
            <family val="2"/>
            <scheme val="minor"/>
          </rPr>
          <t>Monto calculado automáticamente por el sistema</t>
        </r>
      </text>
    </comment>
    <comment ref="A3049" authorId="2">
      <text>
        <r>
          <rPr>
            <sz val="11"/>
            <color theme="1"/>
            <rFont val="Calibri"/>
            <family val="2"/>
            <scheme val="minor"/>
          </rPr>
          <t>Introducir un texto con el nombre o referencia de la contratación</t>
        </r>
      </text>
    </comment>
    <comment ref="B3049" authorId="2">
      <text>
        <r>
          <rPr>
            <sz val="11"/>
            <color theme="1"/>
            <rFont val="Calibri"/>
            <family val="2"/>
            <scheme val="minor"/>
          </rPr>
          <t>Introduzca un texto con la finalidad de la contratación</t>
        </r>
      </text>
    </comment>
    <comment ref="C3049" authorId="2">
      <text>
        <r>
          <rPr>
            <sz val="11"/>
            <color theme="1"/>
            <rFont val="Calibri"/>
            <family val="2"/>
            <scheme val="minor"/>
          </rPr>
          <t>Seleccionar un valor del listado</t>
        </r>
      </text>
    </comment>
    <comment ref="D3049" authorId="2">
      <text>
        <r>
          <rPr>
            <sz val="11"/>
            <color theme="1"/>
            <rFont val="Calibri"/>
            <family val="2"/>
            <scheme val="minor"/>
          </rPr>
          <t>Seleccione el tipo de procedimiento</t>
        </r>
      </text>
    </comment>
    <comment ref="E3049" authorId="2">
      <text>
        <r>
          <rPr>
            <sz val="11"/>
            <color theme="1"/>
            <rFont val="Calibri"/>
            <family val="2"/>
            <scheme val="minor"/>
          </rPr>
          <t>Seleccione un valor de la lista</t>
        </r>
      </text>
    </comment>
    <comment ref="F3049" authorId="2">
      <text>
        <r>
          <rPr>
            <sz val="11"/>
            <color theme="1"/>
            <rFont val="Calibri"/>
            <family val="2"/>
            <scheme val="minor"/>
          </rPr>
          <t>Introduzca el código SNIP</t>
        </r>
      </text>
    </comment>
    <comment ref="C3050" authorId="2">
      <text>
        <r>
          <rPr>
            <sz val="11"/>
            <color theme="1"/>
            <rFont val="Calibri"/>
            <family val="2"/>
            <scheme val="minor"/>
          </rPr>
          <t>Introduzca la fecha de inicio del proceso, en formato dd-mm-aaaa</t>
        </r>
      </text>
    </comment>
    <comment ref="F30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1" authorId="2">
      <text/>
    </comment>
    <comment ref="C3052" authorId="2">
      <text>
        <r>
          <rPr>
            <sz val="11"/>
            <color theme="1"/>
            <rFont val="Calibri"/>
            <family val="2"/>
            <scheme val="minor"/>
          </rPr>
          <t>Introduzca la fecha prevista de adjudicación, en formato dd-mm-aaaa</t>
        </r>
      </text>
    </comment>
    <comment ref="F3052" authorId="2">
      <text/>
    </comment>
    <comment ref="F3053" authorId="2">
      <text/>
    </comment>
    <comment ref="A3055" authorId="2">
      <text>
        <r>
          <rPr>
            <sz val="11"/>
            <color theme="1"/>
            <rFont val="Calibri"/>
            <family val="2"/>
            <scheme val="minor"/>
          </rPr>
          <t>Introduzca un codigo UNSPSC</t>
        </r>
      </text>
    </comment>
    <comment ref="B3055" authorId="2">
      <text>
        <r>
          <rPr>
            <sz val="11"/>
            <color theme="1"/>
            <rFont val="Calibri"/>
            <family val="2"/>
            <scheme val="minor"/>
          </rPr>
          <t>Descripción calculada automáticamente a partir de código del artículo</t>
        </r>
      </text>
    </comment>
    <comment ref="C3055" authorId="2">
      <text>
        <r>
          <rPr>
            <sz val="11"/>
            <color theme="1"/>
            <rFont val="Calibri"/>
            <family val="2"/>
            <scheme val="minor"/>
          </rPr>
          <t>Seleccione un valor de la lista</t>
        </r>
      </text>
    </comment>
    <comment ref="D3055" authorId="2">
      <text>
        <r>
          <rPr>
            <sz val="11"/>
            <color theme="1"/>
            <rFont val="Calibri"/>
            <family val="2"/>
            <scheme val="minor"/>
          </rPr>
          <t>Introduzca un número con dos decimales como máximo. Debe ser igual o mayor a la "Cantidad Real Consumida"</t>
        </r>
      </text>
    </comment>
    <comment ref="E3055" authorId="2">
      <text>
        <r>
          <rPr>
            <sz val="11"/>
            <color theme="1"/>
            <rFont val="Calibri"/>
            <family val="2"/>
            <scheme val="minor"/>
          </rPr>
          <t>Introduzca un número con dos decimales como máximo</t>
        </r>
      </text>
    </comment>
    <comment ref="F3055" authorId="2">
      <text>
        <r>
          <rPr>
            <sz val="11"/>
            <color theme="1"/>
            <rFont val="Calibri"/>
            <family val="2"/>
            <scheme val="minor"/>
          </rPr>
          <t>Monto calculado automáticamente por el sistema</t>
        </r>
      </text>
    </comment>
    <comment ref="A3062" authorId="2">
      <text>
        <r>
          <rPr>
            <sz val="11"/>
            <color theme="1"/>
            <rFont val="Calibri"/>
            <family val="2"/>
            <scheme val="minor"/>
          </rPr>
          <t>Introducir un texto con el nombre o referencia de la contratación</t>
        </r>
      </text>
    </comment>
    <comment ref="B3062" authorId="2">
      <text>
        <r>
          <rPr>
            <sz val="11"/>
            <color theme="1"/>
            <rFont val="Calibri"/>
            <family val="2"/>
            <scheme val="minor"/>
          </rPr>
          <t>Introduzca un texto con la finalidad de la contratación</t>
        </r>
      </text>
    </comment>
    <comment ref="C3062" authorId="2">
      <text>
        <r>
          <rPr>
            <sz val="11"/>
            <color theme="1"/>
            <rFont val="Calibri"/>
            <family val="2"/>
            <scheme val="minor"/>
          </rPr>
          <t>Seleccionar un valor del listado</t>
        </r>
      </text>
    </comment>
    <comment ref="D3062" authorId="2">
      <text>
        <r>
          <rPr>
            <sz val="11"/>
            <color theme="1"/>
            <rFont val="Calibri"/>
            <family val="2"/>
            <scheme val="minor"/>
          </rPr>
          <t>Seleccione el tipo de procedimiento</t>
        </r>
      </text>
    </comment>
    <comment ref="E3062" authorId="2">
      <text>
        <r>
          <rPr>
            <sz val="11"/>
            <color theme="1"/>
            <rFont val="Calibri"/>
            <family val="2"/>
            <scheme val="minor"/>
          </rPr>
          <t>Seleccione un valor de la lista</t>
        </r>
      </text>
    </comment>
    <comment ref="F3062" authorId="2">
      <text>
        <r>
          <rPr>
            <sz val="11"/>
            <color theme="1"/>
            <rFont val="Calibri"/>
            <family val="2"/>
            <scheme val="minor"/>
          </rPr>
          <t>Introduzca el código SNIP</t>
        </r>
      </text>
    </comment>
    <comment ref="C3063" authorId="2">
      <text>
        <r>
          <rPr>
            <sz val="11"/>
            <color theme="1"/>
            <rFont val="Calibri"/>
            <family val="2"/>
            <scheme val="minor"/>
          </rPr>
          <t>Introduzca la fecha de inicio del proceso, en formato dd-mm-aaaa</t>
        </r>
      </text>
    </comment>
    <comment ref="F30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4" authorId="2">
      <text/>
    </comment>
    <comment ref="C3065" authorId="2">
      <text>
        <r>
          <rPr>
            <sz val="11"/>
            <color theme="1"/>
            <rFont val="Calibri"/>
            <family val="2"/>
            <scheme val="minor"/>
          </rPr>
          <t>Introduzca la fecha prevista de adjudicación, en formato dd-mm-aaaa</t>
        </r>
      </text>
    </comment>
    <comment ref="F3065" authorId="2">
      <text/>
    </comment>
    <comment ref="F3066" authorId="2">
      <text/>
    </comment>
    <comment ref="A3068" authorId="2">
      <text>
        <r>
          <rPr>
            <sz val="11"/>
            <color theme="1"/>
            <rFont val="Calibri"/>
            <family val="2"/>
            <scheme val="minor"/>
          </rPr>
          <t>Introduzca un codigo UNSPSC</t>
        </r>
      </text>
    </comment>
    <comment ref="B3068" authorId="2">
      <text>
        <r>
          <rPr>
            <sz val="11"/>
            <color theme="1"/>
            <rFont val="Calibri"/>
            <family val="2"/>
            <scheme val="minor"/>
          </rPr>
          <t>Descripción calculada automáticamente a partir de código del artículo</t>
        </r>
      </text>
    </comment>
    <comment ref="C3068" authorId="2">
      <text>
        <r>
          <rPr>
            <sz val="11"/>
            <color theme="1"/>
            <rFont val="Calibri"/>
            <family val="2"/>
            <scheme val="minor"/>
          </rPr>
          <t>Seleccione un valor de la lista</t>
        </r>
      </text>
    </comment>
    <comment ref="D3068" authorId="2">
      <text>
        <r>
          <rPr>
            <sz val="11"/>
            <color theme="1"/>
            <rFont val="Calibri"/>
            <family val="2"/>
            <scheme val="minor"/>
          </rPr>
          <t>Introduzca un número con dos decimales como máximo. Debe ser igual o mayor a la "Cantidad Real Consumida"</t>
        </r>
      </text>
    </comment>
    <comment ref="E3068" authorId="2">
      <text>
        <r>
          <rPr>
            <sz val="11"/>
            <color theme="1"/>
            <rFont val="Calibri"/>
            <family val="2"/>
            <scheme val="minor"/>
          </rPr>
          <t>Introduzca un número con dos decimales como máximo</t>
        </r>
      </text>
    </comment>
    <comment ref="F3068" authorId="2">
      <text>
        <r>
          <rPr>
            <sz val="11"/>
            <color theme="1"/>
            <rFont val="Calibri"/>
            <family val="2"/>
            <scheme val="minor"/>
          </rPr>
          <t>Monto calculado automáticamente por el sistema</t>
        </r>
      </text>
    </comment>
    <comment ref="A3073" authorId="2">
      <text>
        <r>
          <rPr>
            <sz val="11"/>
            <color theme="1"/>
            <rFont val="Calibri"/>
            <family val="2"/>
            <scheme val="minor"/>
          </rPr>
          <t>Introducir un texto con el nombre o referencia de la contratación</t>
        </r>
      </text>
    </comment>
    <comment ref="B3073" authorId="2">
      <text>
        <r>
          <rPr>
            <sz val="11"/>
            <color theme="1"/>
            <rFont val="Calibri"/>
            <family val="2"/>
            <scheme val="minor"/>
          </rPr>
          <t>Introduzca un texto con la finalidad de la contratación</t>
        </r>
      </text>
    </comment>
    <comment ref="C3073" authorId="2">
      <text>
        <r>
          <rPr>
            <sz val="11"/>
            <color theme="1"/>
            <rFont val="Calibri"/>
            <family val="2"/>
            <scheme val="minor"/>
          </rPr>
          <t>Seleccionar un valor del listado</t>
        </r>
      </text>
    </comment>
    <comment ref="D3073" authorId="2">
      <text>
        <r>
          <rPr>
            <sz val="11"/>
            <color theme="1"/>
            <rFont val="Calibri"/>
            <family val="2"/>
            <scheme val="minor"/>
          </rPr>
          <t>Seleccione el tipo de procedimiento</t>
        </r>
      </text>
    </comment>
    <comment ref="E3073" authorId="2">
      <text>
        <r>
          <rPr>
            <sz val="11"/>
            <color theme="1"/>
            <rFont val="Calibri"/>
            <family val="2"/>
            <scheme val="minor"/>
          </rPr>
          <t>Seleccione un valor de la lista</t>
        </r>
      </text>
    </comment>
    <comment ref="F3073" authorId="2">
      <text>
        <r>
          <rPr>
            <sz val="11"/>
            <color theme="1"/>
            <rFont val="Calibri"/>
            <family val="2"/>
            <scheme val="minor"/>
          </rPr>
          <t>Introduzca el código SNIP</t>
        </r>
      </text>
    </comment>
    <comment ref="C3074" authorId="2">
      <text>
        <r>
          <rPr>
            <sz val="11"/>
            <color theme="1"/>
            <rFont val="Calibri"/>
            <family val="2"/>
            <scheme val="minor"/>
          </rPr>
          <t>Introduzca la fecha de inicio del proceso, en formato dd-mm-aaaa</t>
        </r>
      </text>
    </comment>
    <comment ref="F30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5" authorId="2">
      <text/>
    </comment>
    <comment ref="C3076" authorId="2">
      <text>
        <r>
          <rPr>
            <sz val="11"/>
            <color theme="1"/>
            <rFont val="Calibri"/>
            <family val="2"/>
            <scheme val="minor"/>
          </rPr>
          <t>Introduzca la fecha prevista de adjudicación, en formato dd-mm-aaaa</t>
        </r>
      </text>
    </comment>
    <comment ref="F3076" authorId="2">
      <text/>
    </comment>
    <comment ref="F3077" authorId="2">
      <text/>
    </comment>
    <comment ref="A3079" authorId="2">
      <text>
        <r>
          <rPr>
            <sz val="11"/>
            <color theme="1"/>
            <rFont val="Calibri"/>
            <family val="2"/>
            <scheme val="minor"/>
          </rPr>
          <t>Introduzca un codigo UNSPSC</t>
        </r>
      </text>
    </comment>
    <comment ref="B3079" authorId="2">
      <text>
        <r>
          <rPr>
            <sz val="11"/>
            <color theme="1"/>
            <rFont val="Calibri"/>
            <family val="2"/>
            <scheme val="minor"/>
          </rPr>
          <t>Descripción calculada automáticamente a partir de código del artículo</t>
        </r>
      </text>
    </comment>
    <comment ref="C3079" authorId="2">
      <text>
        <r>
          <rPr>
            <sz val="11"/>
            <color theme="1"/>
            <rFont val="Calibri"/>
            <family val="2"/>
            <scheme val="minor"/>
          </rPr>
          <t>Seleccione un valor de la lista</t>
        </r>
      </text>
    </comment>
    <comment ref="D3079" authorId="2">
      <text>
        <r>
          <rPr>
            <sz val="11"/>
            <color theme="1"/>
            <rFont val="Calibri"/>
            <family val="2"/>
            <scheme val="minor"/>
          </rPr>
          <t>Introduzca un número con dos decimales como máximo. Debe ser igual o mayor a la "Cantidad Real Consumida"</t>
        </r>
      </text>
    </comment>
    <comment ref="E3079" authorId="2">
      <text>
        <r>
          <rPr>
            <sz val="11"/>
            <color theme="1"/>
            <rFont val="Calibri"/>
            <family val="2"/>
            <scheme val="minor"/>
          </rPr>
          <t>Introduzca un número con dos decimales como máximo</t>
        </r>
      </text>
    </comment>
    <comment ref="F3079" authorId="2">
      <text>
        <r>
          <rPr>
            <sz val="11"/>
            <color theme="1"/>
            <rFont val="Calibri"/>
            <family val="2"/>
            <scheme val="minor"/>
          </rPr>
          <t>Monto calculado automáticamente por el sistema</t>
        </r>
      </text>
    </comment>
    <comment ref="A3084" authorId="2">
      <text>
        <r>
          <rPr>
            <sz val="11"/>
            <color theme="1"/>
            <rFont val="Calibri"/>
            <family val="2"/>
            <scheme val="minor"/>
          </rPr>
          <t>Introducir un texto con el nombre o referencia de la contratación</t>
        </r>
      </text>
    </comment>
    <comment ref="B3084" authorId="2">
      <text>
        <r>
          <rPr>
            <sz val="11"/>
            <color theme="1"/>
            <rFont val="Calibri"/>
            <family val="2"/>
            <scheme val="minor"/>
          </rPr>
          <t>Introduzca un texto con la finalidad de la contratación</t>
        </r>
      </text>
    </comment>
    <comment ref="C3084" authorId="2">
      <text>
        <r>
          <rPr>
            <sz val="11"/>
            <color theme="1"/>
            <rFont val="Calibri"/>
            <family val="2"/>
            <scheme val="minor"/>
          </rPr>
          <t>Seleccionar un valor del listado</t>
        </r>
      </text>
    </comment>
    <comment ref="D3084" authorId="2">
      <text>
        <r>
          <rPr>
            <sz val="11"/>
            <color theme="1"/>
            <rFont val="Calibri"/>
            <family val="2"/>
            <scheme val="minor"/>
          </rPr>
          <t>Seleccione el tipo de procedimiento</t>
        </r>
      </text>
    </comment>
    <comment ref="E3084" authorId="2">
      <text>
        <r>
          <rPr>
            <sz val="11"/>
            <color theme="1"/>
            <rFont val="Calibri"/>
            <family val="2"/>
            <scheme val="minor"/>
          </rPr>
          <t>Seleccione un valor de la lista</t>
        </r>
      </text>
    </comment>
    <comment ref="F3084" authorId="2">
      <text>
        <r>
          <rPr>
            <sz val="11"/>
            <color theme="1"/>
            <rFont val="Calibri"/>
            <family val="2"/>
            <scheme val="minor"/>
          </rPr>
          <t>Introduzca el código SNIP</t>
        </r>
      </text>
    </comment>
    <comment ref="C3085" authorId="2">
      <text>
        <r>
          <rPr>
            <sz val="11"/>
            <color theme="1"/>
            <rFont val="Calibri"/>
            <family val="2"/>
            <scheme val="minor"/>
          </rPr>
          <t>Introduzca la fecha de inicio del proceso, en formato dd-mm-aaaa</t>
        </r>
      </text>
    </comment>
    <comment ref="F30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6" authorId="2">
      <text/>
    </comment>
    <comment ref="C3087" authorId="2">
      <text>
        <r>
          <rPr>
            <sz val="11"/>
            <color theme="1"/>
            <rFont val="Calibri"/>
            <family val="2"/>
            <scheme val="minor"/>
          </rPr>
          <t>Introduzca la fecha prevista de adjudicación, en formato dd-mm-aaaa</t>
        </r>
      </text>
    </comment>
    <comment ref="F3087" authorId="2">
      <text/>
    </comment>
    <comment ref="F3088" authorId="2">
      <text/>
    </comment>
    <comment ref="A3090" authorId="2">
      <text>
        <r>
          <rPr>
            <sz val="11"/>
            <color theme="1"/>
            <rFont val="Calibri"/>
            <family val="2"/>
            <scheme val="minor"/>
          </rPr>
          <t>Introduzca un codigo UNSPSC</t>
        </r>
      </text>
    </comment>
    <comment ref="B3090" authorId="2">
      <text>
        <r>
          <rPr>
            <sz val="11"/>
            <color theme="1"/>
            <rFont val="Calibri"/>
            <family val="2"/>
            <scheme val="minor"/>
          </rPr>
          <t>Descripción calculada automáticamente a partir de código del artículo</t>
        </r>
      </text>
    </comment>
    <comment ref="C3090" authorId="2">
      <text>
        <r>
          <rPr>
            <sz val="11"/>
            <color theme="1"/>
            <rFont val="Calibri"/>
            <family val="2"/>
            <scheme val="minor"/>
          </rPr>
          <t>Seleccione un valor de la lista</t>
        </r>
      </text>
    </comment>
    <comment ref="D3090" authorId="2">
      <text>
        <r>
          <rPr>
            <sz val="11"/>
            <color theme="1"/>
            <rFont val="Calibri"/>
            <family val="2"/>
            <scheme val="minor"/>
          </rPr>
          <t>Introduzca un número con dos decimales como máximo. Debe ser igual o mayor a la "Cantidad Real Consumida"</t>
        </r>
      </text>
    </comment>
    <comment ref="E3090" authorId="2">
      <text>
        <r>
          <rPr>
            <sz val="11"/>
            <color theme="1"/>
            <rFont val="Calibri"/>
            <family val="2"/>
            <scheme val="minor"/>
          </rPr>
          <t>Introduzca un número con dos decimales como máximo</t>
        </r>
      </text>
    </comment>
    <comment ref="F3090" authorId="2">
      <text>
        <r>
          <rPr>
            <sz val="11"/>
            <color theme="1"/>
            <rFont val="Calibri"/>
            <family val="2"/>
            <scheme val="minor"/>
          </rPr>
          <t>Monto calculado automáticamente por el sistema</t>
        </r>
      </text>
    </comment>
    <comment ref="A3095" authorId="2">
      <text>
        <r>
          <rPr>
            <sz val="11"/>
            <color theme="1"/>
            <rFont val="Calibri"/>
            <family val="2"/>
            <scheme val="minor"/>
          </rPr>
          <t>Introducir un texto con el nombre o referencia de la contratación</t>
        </r>
      </text>
    </comment>
    <comment ref="B3095" authorId="2">
      <text>
        <r>
          <rPr>
            <sz val="11"/>
            <color theme="1"/>
            <rFont val="Calibri"/>
            <family val="2"/>
            <scheme val="minor"/>
          </rPr>
          <t>Introduzca un texto con la finalidad de la contratación</t>
        </r>
      </text>
    </comment>
    <comment ref="C3095" authorId="2">
      <text>
        <r>
          <rPr>
            <sz val="11"/>
            <color theme="1"/>
            <rFont val="Calibri"/>
            <family val="2"/>
            <scheme val="minor"/>
          </rPr>
          <t>Seleccionar un valor del listado</t>
        </r>
      </text>
    </comment>
    <comment ref="D3095" authorId="2">
      <text>
        <r>
          <rPr>
            <sz val="11"/>
            <color theme="1"/>
            <rFont val="Calibri"/>
            <family val="2"/>
            <scheme val="minor"/>
          </rPr>
          <t>Seleccione el tipo de procedimiento</t>
        </r>
      </text>
    </comment>
    <comment ref="E3095" authorId="2">
      <text>
        <r>
          <rPr>
            <sz val="11"/>
            <color theme="1"/>
            <rFont val="Calibri"/>
            <family val="2"/>
            <scheme val="minor"/>
          </rPr>
          <t>Seleccione un valor de la lista</t>
        </r>
      </text>
    </comment>
    <comment ref="F3095" authorId="2">
      <text>
        <r>
          <rPr>
            <sz val="11"/>
            <color theme="1"/>
            <rFont val="Calibri"/>
            <family val="2"/>
            <scheme val="minor"/>
          </rPr>
          <t>Introduzca el código SNIP</t>
        </r>
      </text>
    </comment>
    <comment ref="C3096" authorId="2">
      <text>
        <r>
          <rPr>
            <sz val="11"/>
            <color theme="1"/>
            <rFont val="Calibri"/>
            <family val="2"/>
            <scheme val="minor"/>
          </rPr>
          <t>Introduzca la fecha de inicio del proceso, en formato dd-mm-aaaa</t>
        </r>
      </text>
    </comment>
    <comment ref="F309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7" authorId="2">
      <text/>
    </comment>
    <comment ref="C3098" authorId="2">
      <text>
        <r>
          <rPr>
            <sz val="11"/>
            <color theme="1"/>
            <rFont val="Calibri"/>
            <family val="2"/>
            <scheme val="minor"/>
          </rPr>
          <t>Introduzca la fecha prevista de adjudicación, en formato dd-mm-aaaa</t>
        </r>
      </text>
    </comment>
    <comment ref="F3098" authorId="2">
      <text/>
    </comment>
    <comment ref="F3099" authorId="2">
      <text/>
    </comment>
    <comment ref="A3101" authorId="2">
      <text>
        <r>
          <rPr>
            <sz val="11"/>
            <color theme="1"/>
            <rFont val="Calibri"/>
            <family val="2"/>
            <scheme val="minor"/>
          </rPr>
          <t>Introduzca un codigo UNSPSC</t>
        </r>
      </text>
    </comment>
    <comment ref="B3101" authorId="2">
      <text>
        <r>
          <rPr>
            <sz val="11"/>
            <color theme="1"/>
            <rFont val="Calibri"/>
            <family val="2"/>
            <scheme val="minor"/>
          </rPr>
          <t>Descripción calculada automáticamente a partir de código del artículo</t>
        </r>
      </text>
    </comment>
    <comment ref="C3101" authorId="2">
      <text>
        <r>
          <rPr>
            <sz val="11"/>
            <color theme="1"/>
            <rFont val="Calibri"/>
            <family val="2"/>
            <scheme val="minor"/>
          </rPr>
          <t>Seleccione un valor de la lista</t>
        </r>
      </text>
    </comment>
    <comment ref="D3101" authorId="2">
      <text>
        <r>
          <rPr>
            <sz val="11"/>
            <color theme="1"/>
            <rFont val="Calibri"/>
            <family val="2"/>
            <scheme val="minor"/>
          </rPr>
          <t>Introduzca un número con dos decimales como máximo. Debe ser igual o mayor a la "Cantidad Real Consumida"</t>
        </r>
      </text>
    </comment>
    <comment ref="E3101" authorId="2">
      <text>
        <r>
          <rPr>
            <sz val="11"/>
            <color theme="1"/>
            <rFont val="Calibri"/>
            <family val="2"/>
            <scheme val="minor"/>
          </rPr>
          <t>Introduzca un número con dos decimales como máximo</t>
        </r>
      </text>
    </comment>
    <comment ref="F3101" authorId="2">
      <text>
        <r>
          <rPr>
            <sz val="11"/>
            <color theme="1"/>
            <rFont val="Calibri"/>
            <family val="2"/>
            <scheme val="minor"/>
          </rPr>
          <t>Monto calculado automáticamente por el sistema</t>
        </r>
      </text>
    </comment>
    <comment ref="A3109" authorId="2">
      <text>
        <r>
          <rPr>
            <sz val="11"/>
            <color theme="1"/>
            <rFont val="Calibri"/>
            <family val="2"/>
            <scheme val="minor"/>
          </rPr>
          <t>Introducir un texto con el nombre o referencia de la contratación</t>
        </r>
      </text>
    </comment>
    <comment ref="B3109" authorId="2">
      <text>
        <r>
          <rPr>
            <sz val="11"/>
            <color theme="1"/>
            <rFont val="Calibri"/>
            <family val="2"/>
            <scheme val="minor"/>
          </rPr>
          <t>Introduzca un texto con la finalidad de la contratación</t>
        </r>
      </text>
    </comment>
    <comment ref="C3109" authorId="2">
      <text>
        <r>
          <rPr>
            <sz val="11"/>
            <color theme="1"/>
            <rFont val="Calibri"/>
            <family val="2"/>
            <scheme val="minor"/>
          </rPr>
          <t>Seleccionar un valor del listado</t>
        </r>
      </text>
    </comment>
    <comment ref="D3109" authorId="2">
      <text>
        <r>
          <rPr>
            <sz val="11"/>
            <color theme="1"/>
            <rFont val="Calibri"/>
            <family val="2"/>
            <scheme val="minor"/>
          </rPr>
          <t>Seleccione el tipo de procedimiento</t>
        </r>
      </text>
    </comment>
    <comment ref="E3109" authorId="2">
      <text>
        <r>
          <rPr>
            <sz val="11"/>
            <color theme="1"/>
            <rFont val="Calibri"/>
            <family val="2"/>
            <scheme val="minor"/>
          </rPr>
          <t>Seleccione un valor de la lista</t>
        </r>
      </text>
    </comment>
    <comment ref="F3109" authorId="2">
      <text>
        <r>
          <rPr>
            <sz val="11"/>
            <color theme="1"/>
            <rFont val="Calibri"/>
            <family val="2"/>
            <scheme val="minor"/>
          </rPr>
          <t>Introduzca el código SNIP</t>
        </r>
      </text>
    </comment>
    <comment ref="C3110" authorId="2">
      <text>
        <r>
          <rPr>
            <sz val="11"/>
            <color theme="1"/>
            <rFont val="Calibri"/>
            <family val="2"/>
            <scheme val="minor"/>
          </rPr>
          <t>Introduzca la fecha de inicio del proceso, en formato dd-mm-aaaa</t>
        </r>
      </text>
    </comment>
    <comment ref="F31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1" authorId="2">
      <text/>
    </comment>
    <comment ref="C3112" authorId="2">
      <text>
        <r>
          <rPr>
            <sz val="11"/>
            <color theme="1"/>
            <rFont val="Calibri"/>
            <family val="2"/>
            <scheme val="minor"/>
          </rPr>
          <t>Introduzca la fecha prevista de adjudicación, en formato dd-mm-aaaa</t>
        </r>
      </text>
    </comment>
    <comment ref="F3112" authorId="2">
      <text/>
    </comment>
    <comment ref="F3113" authorId="2">
      <text/>
    </comment>
    <comment ref="A3115" authorId="2">
      <text>
        <r>
          <rPr>
            <sz val="11"/>
            <color theme="1"/>
            <rFont val="Calibri"/>
            <family val="2"/>
            <scheme val="minor"/>
          </rPr>
          <t>Introduzca un codigo UNSPSC</t>
        </r>
      </text>
    </comment>
    <comment ref="B3115" authorId="2">
      <text>
        <r>
          <rPr>
            <sz val="11"/>
            <color theme="1"/>
            <rFont val="Calibri"/>
            <family val="2"/>
            <scheme val="minor"/>
          </rPr>
          <t>Descripción calculada automáticamente a partir de código del artículo</t>
        </r>
      </text>
    </comment>
    <comment ref="C3115" authorId="2">
      <text>
        <r>
          <rPr>
            <sz val="11"/>
            <color theme="1"/>
            <rFont val="Calibri"/>
            <family val="2"/>
            <scheme val="minor"/>
          </rPr>
          <t>Seleccione un valor de la lista</t>
        </r>
      </text>
    </comment>
    <comment ref="D3115" authorId="2">
      <text>
        <r>
          <rPr>
            <sz val="11"/>
            <color theme="1"/>
            <rFont val="Calibri"/>
            <family val="2"/>
            <scheme val="minor"/>
          </rPr>
          <t>Introduzca un número con dos decimales como máximo. Debe ser igual o mayor a la "Cantidad Real Consumida"</t>
        </r>
      </text>
    </comment>
    <comment ref="E3115" authorId="2">
      <text>
        <r>
          <rPr>
            <sz val="11"/>
            <color theme="1"/>
            <rFont val="Calibri"/>
            <family val="2"/>
            <scheme val="minor"/>
          </rPr>
          <t>Introduzca un número con dos decimales como máximo</t>
        </r>
      </text>
    </comment>
    <comment ref="F3115" authorId="2">
      <text>
        <r>
          <rPr>
            <sz val="11"/>
            <color theme="1"/>
            <rFont val="Calibri"/>
            <family val="2"/>
            <scheme val="minor"/>
          </rPr>
          <t>Monto calculado automáticamente por el sistema</t>
        </r>
      </text>
    </comment>
    <comment ref="A3120" authorId="2">
      <text>
        <r>
          <rPr>
            <sz val="11"/>
            <color theme="1"/>
            <rFont val="Calibri"/>
            <family val="2"/>
            <scheme val="minor"/>
          </rPr>
          <t>Introducir un texto con el nombre o referencia de la contratación</t>
        </r>
      </text>
    </comment>
    <comment ref="B3120" authorId="2">
      <text>
        <r>
          <rPr>
            <sz val="11"/>
            <color theme="1"/>
            <rFont val="Calibri"/>
            <family val="2"/>
            <scheme val="minor"/>
          </rPr>
          <t>Introduzca un texto con la finalidad de la contratación</t>
        </r>
      </text>
    </comment>
    <comment ref="C3120" authorId="2">
      <text>
        <r>
          <rPr>
            <sz val="11"/>
            <color theme="1"/>
            <rFont val="Calibri"/>
            <family val="2"/>
            <scheme val="minor"/>
          </rPr>
          <t>Seleccionar un valor del listado</t>
        </r>
      </text>
    </comment>
    <comment ref="D3120" authorId="2">
      <text>
        <r>
          <rPr>
            <sz val="11"/>
            <color theme="1"/>
            <rFont val="Calibri"/>
            <family val="2"/>
            <scheme val="minor"/>
          </rPr>
          <t>Seleccione el tipo de procedimiento</t>
        </r>
      </text>
    </comment>
    <comment ref="E3120" authorId="2">
      <text>
        <r>
          <rPr>
            <sz val="11"/>
            <color theme="1"/>
            <rFont val="Calibri"/>
            <family val="2"/>
            <scheme val="minor"/>
          </rPr>
          <t>Seleccione un valor de la lista</t>
        </r>
      </text>
    </comment>
    <comment ref="F3120" authorId="2">
      <text>
        <r>
          <rPr>
            <sz val="11"/>
            <color theme="1"/>
            <rFont val="Calibri"/>
            <family val="2"/>
            <scheme val="minor"/>
          </rPr>
          <t>Introduzca el código SNIP</t>
        </r>
      </text>
    </comment>
    <comment ref="C3121" authorId="2">
      <text>
        <r>
          <rPr>
            <sz val="11"/>
            <color theme="1"/>
            <rFont val="Calibri"/>
            <family val="2"/>
            <scheme val="minor"/>
          </rPr>
          <t>Introduzca la fecha de inicio del proceso, en formato dd-mm-aaaa</t>
        </r>
      </text>
    </comment>
    <comment ref="F31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2" authorId="2">
      <text/>
    </comment>
    <comment ref="C3123" authorId="2">
      <text>
        <r>
          <rPr>
            <sz val="11"/>
            <color theme="1"/>
            <rFont val="Calibri"/>
            <family val="2"/>
            <scheme val="minor"/>
          </rPr>
          <t>Introduzca la fecha prevista de adjudicación, en formato dd-mm-aaaa</t>
        </r>
      </text>
    </comment>
    <comment ref="F3123" authorId="2">
      <text/>
    </comment>
    <comment ref="F3124" authorId="2">
      <text/>
    </comment>
    <comment ref="A3126" authorId="2">
      <text>
        <r>
          <rPr>
            <sz val="11"/>
            <color theme="1"/>
            <rFont val="Calibri"/>
            <family val="2"/>
            <scheme val="minor"/>
          </rPr>
          <t>Introduzca un codigo UNSPSC</t>
        </r>
      </text>
    </comment>
    <comment ref="B3126" authorId="2">
      <text>
        <r>
          <rPr>
            <sz val="11"/>
            <color theme="1"/>
            <rFont val="Calibri"/>
            <family val="2"/>
            <scheme val="minor"/>
          </rPr>
          <t>Descripción calculada automáticamente a partir de código del artículo</t>
        </r>
      </text>
    </comment>
    <comment ref="C3126" authorId="2">
      <text>
        <r>
          <rPr>
            <sz val="11"/>
            <color theme="1"/>
            <rFont val="Calibri"/>
            <family val="2"/>
            <scheme val="minor"/>
          </rPr>
          <t>Seleccione un valor de la lista</t>
        </r>
      </text>
    </comment>
    <comment ref="D3126" authorId="2">
      <text>
        <r>
          <rPr>
            <sz val="11"/>
            <color theme="1"/>
            <rFont val="Calibri"/>
            <family val="2"/>
            <scheme val="minor"/>
          </rPr>
          <t>Introduzca un número con dos decimales como máximo. Debe ser igual o mayor a la "Cantidad Real Consumida"</t>
        </r>
      </text>
    </comment>
    <comment ref="E3126" authorId="2">
      <text>
        <r>
          <rPr>
            <sz val="11"/>
            <color theme="1"/>
            <rFont val="Calibri"/>
            <family val="2"/>
            <scheme val="minor"/>
          </rPr>
          <t>Introduzca un número con dos decimales como máximo</t>
        </r>
      </text>
    </comment>
    <comment ref="F3126" authorId="2">
      <text>
        <r>
          <rPr>
            <sz val="11"/>
            <color theme="1"/>
            <rFont val="Calibri"/>
            <family val="2"/>
            <scheme val="minor"/>
          </rPr>
          <t>Monto calculado automáticamente por el sistema</t>
        </r>
      </text>
    </comment>
    <comment ref="A3131" authorId="2">
      <text>
        <r>
          <rPr>
            <sz val="11"/>
            <color theme="1"/>
            <rFont val="Calibri"/>
            <family val="2"/>
            <scheme val="minor"/>
          </rPr>
          <t>Introducir un texto con el nombre o referencia de la contratación</t>
        </r>
      </text>
    </comment>
    <comment ref="B3131" authorId="2">
      <text>
        <r>
          <rPr>
            <sz val="11"/>
            <color theme="1"/>
            <rFont val="Calibri"/>
            <family val="2"/>
            <scheme val="minor"/>
          </rPr>
          <t>Introduzca un texto con la finalidad de la contratación</t>
        </r>
      </text>
    </comment>
    <comment ref="C3131" authorId="2">
      <text>
        <r>
          <rPr>
            <sz val="11"/>
            <color theme="1"/>
            <rFont val="Calibri"/>
            <family val="2"/>
            <scheme val="minor"/>
          </rPr>
          <t>Seleccionar un valor del listado</t>
        </r>
      </text>
    </comment>
    <comment ref="D3131" authorId="2">
      <text>
        <r>
          <rPr>
            <sz val="11"/>
            <color theme="1"/>
            <rFont val="Calibri"/>
            <family val="2"/>
            <scheme val="minor"/>
          </rPr>
          <t>Seleccione el tipo de procedimiento</t>
        </r>
      </text>
    </comment>
    <comment ref="E3131" authorId="2">
      <text>
        <r>
          <rPr>
            <sz val="11"/>
            <color theme="1"/>
            <rFont val="Calibri"/>
            <family val="2"/>
            <scheme val="minor"/>
          </rPr>
          <t>Seleccione un valor de la lista</t>
        </r>
      </text>
    </comment>
    <comment ref="F3131" authorId="2">
      <text>
        <r>
          <rPr>
            <sz val="11"/>
            <color theme="1"/>
            <rFont val="Calibri"/>
            <family val="2"/>
            <scheme val="minor"/>
          </rPr>
          <t>Introduzca el código SNIP</t>
        </r>
      </text>
    </comment>
    <comment ref="C3132" authorId="2">
      <text>
        <r>
          <rPr>
            <sz val="11"/>
            <color theme="1"/>
            <rFont val="Calibri"/>
            <family val="2"/>
            <scheme val="minor"/>
          </rPr>
          <t>Introduzca la fecha de inicio del proceso, en formato dd-mm-aaaa</t>
        </r>
      </text>
    </comment>
    <comment ref="F31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3" authorId="2">
      <text/>
    </comment>
    <comment ref="C3134" authorId="2">
      <text>
        <r>
          <rPr>
            <sz val="11"/>
            <color theme="1"/>
            <rFont val="Calibri"/>
            <family val="2"/>
            <scheme val="minor"/>
          </rPr>
          <t>Introduzca la fecha prevista de adjudicación, en formato dd-mm-aaaa</t>
        </r>
      </text>
    </comment>
    <comment ref="F3134" authorId="2">
      <text/>
    </comment>
    <comment ref="F3135" authorId="2">
      <text/>
    </comment>
    <comment ref="A3137" authorId="2">
      <text>
        <r>
          <rPr>
            <sz val="11"/>
            <color theme="1"/>
            <rFont val="Calibri"/>
            <family val="2"/>
            <scheme val="minor"/>
          </rPr>
          <t>Introduzca un codigo UNSPSC</t>
        </r>
      </text>
    </comment>
    <comment ref="B3137" authorId="2">
      <text>
        <r>
          <rPr>
            <sz val="11"/>
            <color theme="1"/>
            <rFont val="Calibri"/>
            <family val="2"/>
            <scheme val="minor"/>
          </rPr>
          <t>Descripción calculada automáticamente a partir de código del artículo</t>
        </r>
      </text>
    </comment>
    <comment ref="C3137" authorId="2">
      <text>
        <r>
          <rPr>
            <sz val="11"/>
            <color theme="1"/>
            <rFont val="Calibri"/>
            <family val="2"/>
            <scheme val="minor"/>
          </rPr>
          <t>Seleccione un valor de la lista</t>
        </r>
      </text>
    </comment>
    <comment ref="D3137" authorId="2">
      <text>
        <r>
          <rPr>
            <sz val="11"/>
            <color theme="1"/>
            <rFont val="Calibri"/>
            <family val="2"/>
            <scheme val="minor"/>
          </rPr>
          <t>Introduzca un número con dos decimales como máximo. Debe ser igual o mayor a la "Cantidad Real Consumida"</t>
        </r>
      </text>
    </comment>
    <comment ref="E3137" authorId="2">
      <text>
        <r>
          <rPr>
            <sz val="11"/>
            <color theme="1"/>
            <rFont val="Calibri"/>
            <family val="2"/>
            <scheme val="minor"/>
          </rPr>
          <t>Introduzca un número con dos decimales como máximo</t>
        </r>
      </text>
    </comment>
    <comment ref="F3137" authorId="2">
      <text>
        <r>
          <rPr>
            <sz val="11"/>
            <color theme="1"/>
            <rFont val="Calibri"/>
            <family val="2"/>
            <scheme val="minor"/>
          </rPr>
          <t>Monto calculado automáticamente por el sistema</t>
        </r>
      </text>
    </comment>
    <comment ref="A3142" authorId="2">
      <text>
        <r>
          <rPr>
            <sz val="11"/>
            <color theme="1"/>
            <rFont val="Calibri"/>
            <family val="2"/>
            <scheme val="minor"/>
          </rPr>
          <t>Introducir un texto con el nombre o referencia de la contratación</t>
        </r>
      </text>
    </comment>
    <comment ref="B3142" authorId="2">
      <text>
        <r>
          <rPr>
            <sz val="11"/>
            <color theme="1"/>
            <rFont val="Calibri"/>
            <family val="2"/>
            <scheme val="minor"/>
          </rPr>
          <t>Introduzca un texto con la finalidad de la contratación</t>
        </r>
      </text>
    </comment>
    <comment ref="C3142" authorId="2">
      <text>
        <r>
          <rPr>
            <sz val="11"/>
            <color theme="1"/>
            <rFont val="Calibri"/>
            <family val="2"/>
            <scheme val="minor"/>
          </rPr>
          <t>Seleccionar un valor del listado</t>
        </r>
      </text>
    </comment>
    <comment ref="D3142" authorId="2">
      <text>
        <r>
          <rPr>
            <sz val="11"/>
            <color theme="1"/>
            <rFont val="Calibri"/>
            <family val="2"/>
            <scheme val="minor"/>
          </rPr>
          <t>Seleccione el tipo de procedimiento</t>
        </r>
      </text>
    </comment>
    <comment ref="E3142" authorId="2">
      <text>
        <r>
          <rPr>
            <sz val="11"/>
            <color theme="1"/>
            <rFont val="Calibri"/>
            <family val="2"/>
            <scheme val="minor"/>
          </rPr>
          <t>Seleccione un valor de la lista</t>
        </r>
      </text>
    </comment>
    <comment ref="F3142" authorId="2">
      <text>
        <r>
          <rPr>
            <sz val="11"/>
            <color theme="1"/>
            <rFont val="Calibri"/>
            <family val="2"/>
            <scheme val="minor"/>
          </rPr>
          <t>Introduzca el código SNIP</t>
        </r>
      </text>
    </comment>
    <comment ref="C3143" authorId="2">
      <text>
        <r>
          <rPr>
            <sz val="11"/>
            <color theme="1"/>
            <rFont val="Calibri"/>
            <family val="2"/>
            <scheme val="minor"/>
          </rPr>
          <t>Introduzca la fecha de inicio del proceso, en formato dd-mm-aaaa</t>
        </r>
      </text>
    </comment>
    <comment ref="F31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4" authorId="2">
      <text/>
    </comment>
    <comment ref="C3145" authorId="2">
      <text>
        <r>
          <rPr>
            <sz val="11"/>
            <color theme="1"/>
            <rFont val="Calibri"/>
            <family val="2"/>
            <scheme val="minor"/>
          </rPr>
          <t>Introduzca la fecha prevista de adjudicación, en formato dd-mm-aaaa</t>
        </r>
      </text>
    </comment>
    <comment ref="F3145" authorId="2">
      <text/>
    </comment>
    <comment ref="F3146" authorId="2">
      <text/>
    </comment>
    <comment ref="A3148" authorId="2">
      <text>
        <r>
          <rPr>
            <sz val="11"/>
            <color theme="1"/>
            <rFont val="Calibri"/>
            <family val="2"/>
            <scheme val="minor"/>
          </rPr>
          <t>Introduzca un codigo UNSPSC</t>
        </r>
      </text>
    </comment>
    <comment ref="B3148" authorId="2">
      <text>
        <r>
          <rPr>
            <sz val="11"/>
            <color theme="1"/>
            <rFont val="Calibri"/>
            <family val="2"/>
            <scheme val="minor"/>
          </rPr>
          <t>Descripción calculada automáticamente a partir de código del artículo</t>
        </r>
      </text>
    </comment>
    <comment ref="C3148" authorId="2">
      <text>
        <r>
          <rPr>
            <sz val="11"/>
            <color theme="1"/>
            <rFont val="Calibri"/>
            <family val="2"/>
            <scheme val="minor"/>
          </rPr>
          <t>Seleccione un valor de la lista</t>
        </r>
      </text>
    </comment>
    <comment ref="D3148" authorId="2">
      <text>
        <r>
          <rPr>
            <sz val="11"/>
            <color theme="1"/>
            <rFont val="Calibri"/>
            <family val="2"/>
            <scheme val="minor"/>
          </rPr>
          <t>Introduzca un número con dos decimales como máximo. Debe ser igual o mayor a la "Cantidad Real Consumida"</t>
        </r>
      </text>
    </comment>
    <comment ref="E3148" authorId="2">
      <text>
        <r>
          <rPr>
            <sz val="11"/>
            <color theme="1"/>
            <rFont val="Calibri"/>
            <family val="2"/>
            <scheme val="minor"/>
          </rPr>
          <t>Introduzca un número con dos decimales como máximo</t>
        </r>
      </text>
    </comment>
    <comment ref="F3148" authorId="2">
      <text>
        <r>
          <rPr>
            <sz val="11"/>
            <color theme="1"/>
            <rFont val="Calibri"/>
            <family val="2"/>
            <scheme val="minor"/>
          </rPr>
          <t>Monto calculado automáticamente por el sistema</t>
        </r>
      </text>
    </comment>
    <comment ref="A3163" authorId="2">
      <text>
        <r>
          <rPr>
            <sz val="11"/>
            <color theme="1"/>
            <rFont val="Calibri"/>
            <family val="2"/>
            <scheme val="minor"/>
          </rPr>
          <t>Introducir un texto con el nombre o referencia de la contratación</t>
        </r>
      </text>
    </comment>
    <comment ref="B3163" authorId="2">
      <text>
        <r>
          <rPr>
            <sz val="11"/>
            <color theme="1"/>
            <rFont val="Calibri"/>
            <family val="2"/>
            <scheme val="minor"/>
          </rPr>
          <t>Introduzca un texto con la finalidad de la contratación</t>
        </r>
      </text>
    </comment>
    <comment ref="C3163" authorId="2">
      <text>
        <r>
          <rPr>
            <sz val="11"/>
            <color theme="1"/>
            <rFont val="Calibri"/>
            <family val="2"/>
            <scheme val="minor"/>
          </rPr>
          <t>Seleccionar un valor del listado</t>
        </r>
      </text>
    </comment>
    <comment ref="D3163" authorId="2">
      <text>
        <r>
          <rPr>
            <sz val="11"/>
            <color theme="1"/>
            <rFont val="Calibri"/>
            <family val="2"/>
            <scheme val="minor"/>
          </rPr>
          <t>Seleccione el tipo de procedimiento</t>
        </r>
      </text>
    </comment>
    <comment ref="E3163" authorId="2">
      <text>
        <r>
          <rPr>
            <sz val="11"/>
            <color theme="1"/>
            <rFont val="Calibri"/>
            <family val="2"/>
            <scheme val="minor"/>
          </rPr>
          <t>Seleccione un valor de la lista</t>
        </r>
      </text>
    </comment>
    <comment ref="F3163" authorId="2">
      <text>
        <r>
          <rPr>
            <sz val="11"/>
            <color theme="1"/>
            <rFont val="Calibri"/>
            <family val="2"/>
            <scheme val="minor"/>
          </rPr>
          <t>Introduzca el código SNIP</t>
        </r>
      </text>
    </comment>
    <comment ref="C3164" authorId="2">
      <text>
        <r>
          <rPr>
            <sz val="11"/>
            <color theme="1"/>
            <rFont val="Calibri"/>
            <family val="2"/>
            <scheme val="minor"/>
          </rPr>
          <t>Introduzca la fecha de inicio del proceso, en formato dd-mm-aaaa</t>
        </r>
      </text>
    </comment>
    <comment ref="F31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5" authorId="2">
      <text/>
    </comment>
    <comment ref="C3166" authorId="2">
      <text>
        <r>
          <rPr>
            <sz val="11"/>
            <color theme="1"/>
            <rFont val="Calibri"/>
            <family val="2"/>
            <scheme val="minor"/>
          </rPr>
          <t>Introduzca la fecha prevista de adjudicación, en formato dd-mm-aaaa</t>
        </r>
      </text>
    </comment>
    <comment ref="F3166" authorId="2">
      <text/>
    </comment>
    <comment ref="F3167" authorId="2">
      <text/>
    </comment>
    <comment ref="A3169" authorId="2">
      <text>
        <r>
          <rPr>
            <sz val="11"/>
            <color theme="1"/>
            <rFont val="Calibri"/>
            <family val="2"/>
            <scheme val="minor"/>
          </rPr>
          <t>Introduzca un codigo UNSPSC</t>
        </r>
      </text>
    </comment>
    <comment ref="B3169" authorId="2">
      <text>
        <r>
          <rPr>
            <sz val="11"/>
            <color theme="1"/>
            <rFont val="Calibri"/>
            <family val="2"/>
            <scheme val="minor"/>
          </rPr>
          <t>Descripción calculada automáticamente a partir de código del artículo</t>
        </r>
      </text>
    </comment>
    <comment ref="C3169" authorId="2">
      <text>
        <r>
          <rPr>
            <sz val="11"/>
            <color theme="1"/>
            <rFont val="Calibri"/>
            <family val="2"/>
            <scheme val="minor"/>
          </rPr>
          <t>Seleccione un valor de la lista</t>
        </r>
      </text>
    </comment>
    <comment ref="D3169" authorId="2">
      <text>
        <r>
          <rPr>
            <sz val="11"/>
            <color theme="1"/>
            <rFont val="Calibri"/>
            <family val="2"/>
            <scheme val="minor"/>
          </rPr>
          <t>Introduzca un número con dos decimales como máximo. Debe ser igual o mayor a la "Cantidad Real Consumida"</t>
        </r>
      </text>
    </comment>
    <comment ref="E3169" authorId="2">
      <text>
        <r>
          <rPr>
            <sz val="11"/>
            <color theme="1"/>
            <rFont val="Calibri"/>
            <family val="2"/>
            <scheme val="minor"/>
          </rPr>
          <t>Introduzca un número con dos decimales como máximo</t>
        </r>
      </text>
    </comment>
    <comment ref="F3169" authorId="2">
      <text>
        <r>
          <rPr>
            <sz val="11"/>
            <color theme="1"/>
            <rFont val="Calibri"/>
            <family val="2"/>
            <scheme val="minor"/>
          </rPr>
          <t>Monto calculado automáticamente por el sistema</t>
        </r>
      </text>
    </comment>
    <comment ref="A3174" authorId="2">
      <text>
        <r>
          <rPr>
            <sz val="11"/>
            <color theme="1"/>
            <rFont val="Calibri"/>
            <family val="2"/>
            <scheme val="minor"/>
          </rPr>
          <t>Introducir un texto con el nombre o referencia de la contratación</t>
        </r>
      </text>
    </comment>
    <comment ref="B3174" authorId="2">
      <text>
        <r>
          <rPr>
            <sz val="11"/>
            <color theme="1"/>
            <rFont val="Calibri"/>
            <family val="2"/>
            <scheme val="minor"/>
          </rPr>
          <t>Introduzca un texto con la finalidad de la contratación</t>
        </r>
      </text>
    </comment>
    <comment ref="C3174" authorId="2">
      <text>
        <r>
          <rPr>
            <sz val="11"/>
            <color theme="1"/>
            <rFont val="Calibri"/>
            <family val="2"/>
            <scheme val="minor"/>
          </rPr>
          <t>Seleccionar un valor del listado</t>
        </r>
      </text>
    </comment>
    <comment ref="D3174" authorId="2">
      <text>
        <r>
          <rPr>
            <sz val="11"/>
            <color theme="1"/>
            <rFont val="Calibri"/>
            <family val="2"/>
            <scheme val="minor"/>
          </rPr>
          <t>Seleccione el tipo de procedimiento</t>
        </r>
      </text>
    </comment>
    <comment ref="E3174" authorId="2">
      <text>
        <r>
          <rPr>
            <sz val="11"/>
            <color theme="1"/>
            <rFont val="Calibri"/>
            <family val="2"/>
            <scheme val="minor"/>
          </rPr>
          <t>Seleccione un valor de la lista</t>
        </r>
      </text>
    </comment>
    <comment ref="F3174" authorId="2">
      <text>
        <r>
          <rPr>
            <sz val="11"/>
            <color theme="1"/>
            <rFont val="Calibri"/>
            <family val="2"/>
            <scheme val="minor"/>
          </rPr>
          <t>Introduzca el código SNIP</t>
        </r>
      </text>
    </comment>
    <comment ref="C3175" authorId="2">
      <text>
        <r>
          <rPr>
            <sz val="11"/>
            <color theme="1"/>
            <rFont val="Calibri"/>
            <family val="2"/>
            <scheme val="minor"/>
          </rPr>
          <t>Introduzca la fecha de inicio del proceso, en formato dd-mm-aaaa</t>
        </r>
      </text>
    </comment>
    <comment ref="F31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6" authorId="2">
      <text/>
    </comment>
    <comment ref="C3177" authorId="2">
      <text>
        <r>
          <rPr>
            <sz val="11"/>
            <color theme="1"/>
            <rFont val="Calibri"/>
            <family val="2"/>
            <scheme val="minor"/>
          </rPr>
          <t>Introduzca la fecha prevista de adjudicación, en formato dd-mm-aaaa</t>
        </r>
      </text>
    </comment>
    <comment ref="F3177" authorId="2">
      <text/>
    </comment>
    <comment ref="F3178" authorId="2">
      <text/>
    </comment>
    <comment ref="A3180" authorId="2">
      <text>
        <r>
          <rPr>
            <sz val="11"/>
            <color theme="1"/>
            <rFont val="Calibri"/>
            <family val="2"/>
            <scheme val="minor"/>
          </rPr>
          <t>Introduzca un codigo UNSPSC</t>
        </r>
      </text>
    </comment>
    <comment ref="B3180" authorId="2">
      <text>
        <r>
          <rPr>
            <sz val="11"/>
            <color theme="1"/>
            <rFont val="Calibri"/>
            <family val="2"/>
            <scheme val="minor"/>
          </rPr>
          <t>Descripción calculada automáticamente a partir de código del artículo</t>
        </r>
      </text>
    </comment>
    <comment ref="C3180" authorId="2">
      <text>
        <r>
          <rPr>
            <sz val="11"/>
            <color theme="1"/>
            <rFont val="Calibri"/>
            <family val="2"/>
            <scheme val="minor"/>
          </rPr>
          <t>Seleccione un valor de la lista</t>
        </r>
      </text>
    </comment>
    <comment ref="D3180" authorId="2">
      <text>
        <r>
          <rPr>
            <sz val="11"/>
            <color theme="1"/>
            <rFont val="Calibri"/>
            <family val="2"/>
            <scheme val="minor"/>
          </rPr>
          <t>Introduzca un número con dos decimales como máximo. Debe ser igual o mayor a la "Cantidad Real Consumida"</t>
        </r>
      </text>
    </comment>
    <comment ref="E3180" authorId="2">
      <text>
        <r>
          <rPr>
            <sz val="11"/>
            <color theme="1"/>
            <rFont val="Calibri"/>
            <family val="2"/>
            <scheme val="minor"/>
          </rPr>
          <t>Introduzca un número con dos decimales como máximo</t>
        </r>
      </text>
    </comment>
    <comment ref="F3180" authorId="2">
      <text>
        <r>
          <rPr>
            <sz val="11"/>
            <color theme="1"/>
            <rFont val="Calibri"/>
            <family val="2"/>
            <scheme val="minor"/>
          </rPr>
          <t>Monto calculado automáticamente por el sistema</t>
        </r>
      </text>
    </comment>
    <comment ref="A3191" authorId="2">
      <text>
        <r>
          <rPr>
            <sz val="11"/>
            <color theme="1"/>
            <rFont val="Calibri"/>
            <family val="2"/>
            <scheme val="minor"/>
          </rPr>
          <t>Introducir un texto con el nombre o referencia de la contratación</t>
        </r>
      </text>
    </comment>
    <comment ref="B3191" authorId="2">
      <text>
        <r>
          <rPr>
            <sz val="11"/>
            <color theme="1"/>
            <rFont val="Calibri"/>
            <family val="2"/>
            <scheme val="minor"/>
          </rPr>
          <t>Introduzca un texto con la finalidad de la contratación</t>
        </r>
      </text>
    </comment>
    <comment ref="C3191" authorId="2">
      <text>
        <r>
          <rPr>
            <sz val="11"/>
            <color theme="1"/>
            <rFont val="Calibri"/>
            <family val="2"/>
            <scheme val="minor"/>
          </rPr>
          <t>Seleccionar un valor del listado</t>
        </r>
      </text>
    </comment>
    <comment ref="D3191" authorId="2">
      <text>
        <r>
          <rPr>
            <sz val="11"/>
            <color theme="1"/>
            <rFont val="Calibri"/>
            <family val="2"/>
            <scheme val="minor"/>
          </rPr>
          <t>Seleccione el tipo de procedimiento</t>
        </r>
      </text>
    </comment>
    <comment ref="E3191" authorId="2">
      <text>
        <r>
          <rPr>
            <sz val="11"/>
            <color theme="1"/>
            <rFont val="Calibri"/>
            <family val="2"/>
            <scheme val="minor"/>
          </rPr>
          <t>Seleccione un valor de la lista</t>
        </r>
      </text>
    </comment>
    <comment ref="F3191" authorId="2">
      <text>
        <r>
          <rPr>
            <sz val="11"/>
            <color theme="1"/>
            <rFont val="Calibri"/>
            <family val="2"/>
            <scheme val="minor"/>
          </rPr>
          <t>Introduzca el código SNIP</t>
        </r>
      </text>
    </comment>
    <comment ref="C3192" authorId="2">
      <text>
        <r>
          <rPr>
            <sz val="11"/>
            <color theme="1"/>
            <rFont val="Calibri"/>
            <family val="2"/>
            <scheme val="minor"/>
          </rPr>
          <t>Introduzca la fecha de inicio del proceso, en formato dd-mm-aaaa</t>
        </r>
      </text>
    </comment>
    <comment ref="F31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3" authorId="2">
      <text/>
    </comment>
    <comment ref="C3194" authorId="2">
      <text>
        <r>
          <rPr>
            <sz val="11"/>
            <color theme="1"/>
            <rFont val="Calibri"/>
            <family val="2"/>
            <scheme val="minor"/>
          </rPr>
          <t>Introduzca la fecha prevista de adjudicación, en formato dd-mm-aaaa</t>
        </r>
      </text>
    </comment>
    <comment ref="F3194" authorId="2">
      <text/>
    </comment>
    <comment ref="F3195" authorId="2">
      <text/>
    </comment>
    <comment ref="A3197" authorId="2">
      <text>
        <r>
          <rPr>
            <sz val="11"/>
            <color theme="1"/>
            <rFont val="Calibri"/>
            <family val="2"/>
            <scheme val="minor"/>
          </rPr>
          <t>Introduzca un codigo UNSPSC</t>
        </r>
      </text>
    </comment>
    <comment ref="B3197" authorId="2">
      <text>
        <r>
          <rPr>
            <sz val="11"/>
            <color theme="1"/>
            <rFont val="Calibri"/>
            <family val="2"/>
            <scheme val="minor"/>
          </rPr>
          <t>Descripción calculada automáticamente a partir de código del artículo</t>
        </r>
      </text>
    </comment>
    <comment ref="C3197" authorId="2">
      <text>
        <r>
          <rPr>
            <sz val="11"/>
            <color theme="1"/>
            <rFont val="Calibri"/>
            <family val="2"/>
            <scheme val="minor"/>
          </rPr>
          <t>Seleccione un valor de la lista</t>
        </r>
      </text>
    </comment>
    <comment ref="D3197" authorId="2">
      <text>
        <r>
          <rPr>
            <sz val="11"/>
            <color theme="1"/>
            <rFont val="Calibri"/>
            <family val="2"/>
            <scheme val="minor"/>
          </rPr>
          <t>Introduzca un número con dos decimales como máximo. Debe ser igual o mayor a la "Cantidad Real Consumida"</t>
        </r>
      </text>
    </comment>
    <comment ref="E3197" authorId="2">
      <text>
        <r>
          <rPr>
            <sz val="11"/>
            <color theme="1"/>
            <rFont val="Calibri"/>
            <family val="2"/>
            <scheme val="minor"/>
          </rPr>
          <t>Introduzca un número con dos decimales como máximo</t>
        </r>
      </text>
    </comment>
    <comment ref="F3197" authorId="2">
      <text>
        <r>
          <rPr>
            <sz val="11"/>
            <color theme="1"/>
            <rFont val="Calibri"/>
            <family val="2"/>
            <scheme val="minor"/>
          </rPr>
          <t>Monto calculado automáticamente por el sistema</t>
        </r>
      </text>
    </comment>
    <comment ref="A3225" authorId="2">
      <text>
        <r>
          <rPr>
            <sz val="11"/>
            <color theme="1"/>
            <rFont val="Calibri"/>
            <family val="2"/>
            <scheme val="minor"/>
          </rPr>
          <t>Introducir un texto con el nombre o referencia de la contratación</t>
        </r>
      </text>
    </comment>
    <comment ref="B3225" authorId="2">
      <text>
        <r>
          <rPr>
            <sz val="11"/>
            <color theme="1"/>
            <rFont val="Calibri"/>
            <family val="2"/>
            <scheme val="minor"/>
          </rPr>
          <t>Introduzca un texto con la finalidad de la contratación</t>
        </r>
      </text>
    </comment>
    <comment ref="C3225" authorId="2">
      <text>
        <r>
          <rPr>
            <sz val="11"/>
            <color theme="1"/>
            <rFont val="Calibri"/>
            <family val="2"/>
            <scheme val="minor"/>
          </rPr>
          <t>Seleccionar un valor del listado</t>
        </r>
      </text>
    </comment>
    <comment ref="D3225" authorId="2">
      <text>
        <r>
          <rPr>
            <sz val="11"/>
            <color theme="1"/>
            <rFont val="Calibri"/>
            <family val="2"/>
            <scheme val="minor"/>
          </rPr>
          <t>Seleccione el tipo de procedimiento</t>
        </r>
      </text>
    </comment>
    <comment ref="E3225" authorId="2">
      <text>
        <r>
          <rPr>
            <sz val="11"/>
            <color theme="1"/>
            <rFont val="Calibri"/>
            <family val="2"/>
            <scheme val="minor"/>
          </rPr>
          <t>Seleccione un valor de la lista</t>
        </r>
      </text>
    </comment>
    <comment ref="F3225" authorId="2">
      <text>
        <r>
          <rPr>
            <sz val="11"/>
            <color theme="1"/>
            <rFont val="Calibri"/>
            <family val="2"/>
            <scheme val="minor"/>
          </rPr>
          <t>Introduzca el código SNIP</t>
        </r>
      </text>
    </comment>
    <comment ref="C3226" authorId="2">
      <text>
        <r>
          <rPr>
            <sz val="11"/>
            <color theme="1"/>
            <rFont val="Calibri"/>
            <family val="2"/>
            <scheme val="minor"/>
          </rPr>
          <t>Introduzca la fecha de inicio del proceso, en formato dd-mm-aaaa</t>
        </r>
      </text>
    </comment>
    <comment ref="F32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7" authorId="2">
      <text/>
    </comment>
    <comment ref="C3228" authorId="2">
      <text>
        <r>
          <rPr>
            <sz val="11"/>
            <color theme="1"/>
            <rFont val="Calibri"/>
            <family val="2"/>
            <scheme val="minor"/>
          </rPr>
          <t>Introduzca la fecha prevista de adjudicación, en formato dd-mm-aaaa</t>
        </r>
      </text>
    </comment>
    <comment ref="F3228" authorId="2">
      <text/>
    </comment>
    <comment ref="F3229" authorId="2">
      <text/>
    </comment>
    <comment ref="A3231" authorId="2">
      <text>
        <r>
          <rPr>
            <sz val="11"/>
            <color theme="1"/>
            <rFont val="Calibri"/>
            <family val="2"/>
            <scheme val="minor"/>
          </rPr>
          <t>Introduzca un codigo UNSPSC</t>
        </r>
      </text>
    </comment>
    <comment ref="B3231" authorId="2">
      <text>
        <r>
          <rPr>
            <sz val="11"/>
            <color theme="1"/>
            <rFont val="Calibri"/>
            <family val="2"/>
            <scheme val="minor"/>
          </rPr>
          <t>Descripción calculada automáticamente a partir de código del artículo</t>
        </r>
      </text>
    </comment>
    <comment ref="C3231" authorId="2">
      <text>
        <r>
          <rPr>
            <sz val="11"/>
            <color theme="1"/>
            <rFont val="Calibri"/>
            <family val="2"/>
            <scheme val="minor"/>
          </rPr>
          <t>Seleccione un valor de la lista</t>
        </r>
      </text>
    </comment>
    <comment ref="D3231" authorId="2">
      <text>
        <r>
          <rPr>
            <sz val="11"/>
            <color theme="1"/>
            <rFont val="Calibri"/>
            <family val="2"/>
            <scheme val="minor"/>
          </rPr>
          <t>Introduzca un número con dos decimales como máximo. Debe ser igual o mayor a la "Cantidad Real Consumida"</t>
        </r>
      </text>
    </comment>
    <comment ref="E3231" authorId="2">
      <text>
        <r>
          <rPr>
            <sz val="11"/>
            <color theme="1"/>
            <rFont val="Calibri"/>
            <family val="2"/>
            <scheme val="minor"/>
          </rPr>
          <t>Introduzca un número con dos decimales como máximo</t>
        </r>
      </text>
    </comment>
    <comment ref="F3231" authorId="2">
      <text>
        <r>
          <rPr>
            <sz val="11"/>
            <color theme="1"/>
            <rFont val="Calibri"/>
            <family val="2"/>
            <scheme val="minor"/>
          </rPr>
          <t>Monto calculado automáticamente por el sistema</t>
        </r>
      </text>
    </comment>
    <comment ref="A3240" authorId="2">
      <text>
        <r>
          <rPr>
            <sz val="11"/>
            <color theme="1"/>
            <rFont val="Calibri"/>
            <family val="2"/>
            <scheme val="minor"/>
          </rPr>
          <t>Introducir un texto con el nombre o referencia de la contratación</t>
        </r>
      </text>
    </comment>
    <comment ref="B3240" authorId="2">
      <text>
        <r>
          <rPr>
            <sz val="11"/>
            <color theme="1"/>
            <rFont val="Calibri"/>
            <family val="2"/>
            <scheme val="minor"/>
          </rPr>
          <t>Introduzca un texto con la finalidad de la contratación</t>
        </r>
      </text>
    </comment>
    <comment ref="C3240" authorId="2">
      <text>
        <r>
          <rPr>
            <sz val="11"/>
            <color theme="1"/>
            <rFont val="Calibri"/>
            <family val="2"/>
            <scheme val="minor"/>
          </rPr>
          <t>Seleccionar un valor del listado</t>
        </r>
      </text>
    </comment>
    <comment ref="D3240" authorId="2">
      <text>
        <r>
          <rPr>
            <sz val="11"/>
            <color theme="1"/>
            <rFont val="Calibri"/>
            <family val="2"/>
            <scheme val="minor"/>
          </rPr>
          <t>Seleccione el tipo de procedimiento</t>
        </r>
      </text>
    </comment>
    <comment ref="E3240" authorId="2">
      <text>
        <r>
          <rPr>
            <sz val="11"/>
            <color theme="1"/>
            <rFont val="Calibri"/>
            <family val="2"/>
            <scheme val="minor"/>
          </rPr>
          <t>Seleccione un valor de la lista</t>
        </r>
      </text>
    </comment>
    <comment ref="F3240" authorId="2">
      <text>
        <r>
          <rPr>
            <sz val="11"/>
            <color theme="1"/>
            <rFont val="Calibri"/>
            <family val="2"/>
            <scheme val="minor"/>
          </rPr>
          <t>Introduzca el código SNIP</t>
        </r>
      </text>
    </comment>
    <comment ref="C3241" authorId="2">
      <text>
        <r>
          <rPr>
            <sz val="11"/>
            <color theme="1"/>
            <rFont val="Calibri"/>
            <family val="2"/>
            <scheme val="minor"/>
          </rPr>
          <t>Introduzca la fecha de inicio del proceso, en formato dd-mm-aaaa</t>
        </r>
      </text>
    </comment>
    <comment ref="F324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2" authorId="2">
      <text/>
    </comment>
    <comment ref="C3243" authorId="2">
      <text>
        <r>
          <rPr>
            <sz val="11"/>
            <color theme="1"/>
            <rFont val="Calibri"/>
            <family val="2"/>
            <scheme val="minor"/>
          </rPr>
          <t>Introduzca la fecha prevista de adjudicación, en formato dd-mm-aaaa</t>
        </r>
      </text>
    </comment>
    <comment ref="F3243" authorId="2">
      <text/>
    </comment>
    <comment ref="F3244" authorId="2">
      <text/>
    </comment>
    <comment ref="A3246" authorId="2">
      <text>
        <r>
          <rPr>
            <sz val="11"/>
            <color theme="1"/>
            <rFont val="Calibri"/>
            <family val="2"/>
            <scheme val="minor"/>
          </rPr>
          <t>Introduzca un codigo UNSPSC</t>
        </r>
      </text>
    </comment>
    <comment ref="B3246" authorId="2">
      <text>
        <r>
          <rPr>
            <sz val="11"/>
            <color theme="1"/>
            <rFont val="Calibri"/>
            <family val="2"/>
            <scheme val="minor"/>
          </rPr>
          <t>Descripción calculada automáticamente a partir de código del artículo</t>
        </r>
      </text>
    </comment>
    <comment ref="C3246" authorId="2">
      <text>
        <r>
          <rPr>
            <sz val="11"/>
            <color theme="1"/>
            <rFont val="Calibri"/>
            <family val="2"/>
            <scheme val="minor"/>
          </rPr>
          <t>Seleccione un valor de la lista</t>
        </r>
      </text>
    </comment>
    <comment ref="D3246" authorId="2">
      <text>
        <r>
          <rPr>
            <sz val="11"/>
            <color theme="1"/>
            <rFont val="Calibri"/>
            <family val="2"/>
            <scheme val="minor"/>
          </rPr>
          <t>Introduzca un número con dos decimales como máximo. Debe ser igual o mayor a la "Cantidad Real Consumida"</t>
        </r>
      </text>
    </comment>
    <comment ref="E3246" authorId="2">
      <text>
        <r>
          <rPr>
            <sz val="11"/>
            <color theme="1"/>
            <rFont val="Calibri"/>
            <family val="2"/>
            <scheme val="minor"/>
          </rPr>
          <t>Introduzca un número con dos decimales como máximo</t>
        </r>
      </text>
    </comment>
    <comment ref="F3246" authorId="2">
      <text>
        <r>
          <rPr>
            <sz val="11"/>
            <color theme="1"/>
            <rFont val="Calibri"/>
            <family val="2"/>
            <scheme val="minor"/>
          </rPr>
          <t>Monto calculado automáticamente por el sistema</t>
        </r>
      </text>
    </comment>
    <comment ref="A3253" authorId="2">
      <text>
        <r>
          <rPr>
            <sz val="11"/>
            <color theme="1"/>
            <rFont val="Calibri"/>
            <family val="2"/>
            <scheme val="minor"/>
          </rPr>
          <t>Introducir un texto con el nombre o referencia de la contratación</t>
        </r>
      </text>
    </comment>
    <comment ref="B3253" authorId="2">
      <text>
        <r>
          <rPr>
            <sz val="11"/>
            <color theme="1"/>
            <rFont val="Calibri"/>
            <family val="2"/>
            <scheme val="minor"/>
          </rPr>
          <t>Introduzca un texto con la finalidad de la contratación</t>
        </r>
      </text>
    </comment>
    <comment ref="C3253" authorId="2">
      <text>
        <r>
          <rPr>
            <sz val="11"/>
            <color theme="1"/>
            <rFont val="Calibri"/>
            <family val="2"/>
            <scheme val="minor"/>
          </rPr>
          <t>Seleccionar un valor del listado</t>
        </r>
      </text>
    </comment>
    <comment ref="D3253" authorId="2">
      <text>
        <r>
          <rPr>
            <sz val="11"/>
            <color theme="1"/>
            <rFont val="Calibri"/>
            <family val="2"/>
            <scheme val="minor"/>
          </rPr>
          <t>Seleccione el tipo de procedimiento</t>
        </r>
      </text>
    </comment>
    <comment ref="E3253" authorId="2">
      <text>
        <r>
          <rPr>
            <sz val="11"/>
            <color theme="1"/>
            <rFont val="Calibri"/>
            <family val="2"/>
            <scheme val="minor"/>
          </rPr>
          <t>Seleccione un valor de la lista</t>
        </r>
      </text>
    </comment>
    <comment ref="F3253" authorId="2">
      <text>
        <r>
          <rPr>
            <sz val="11"/>
            <color theme="1"/>
            <rFont val="Calibri"/>
            <family val="2"/>
            <scheme val="minor"/>
          </rPr>
          <t>Introduzca el código SNIP</t>
        </r>
      </text>
    </comment>
    <comment ref="C3254" authorId="2">
      <text>
        <r>
          <rPr>
            <sz val="11"/>
            <color theme="1"/>
            <rFont val="Calibri"/>
            <family val="2"/>
            <scheme val="minor"/>
          </rPr>
          <t>Introduzca la fecha de inicio del proceso, en formato dd-mm-aaaa</t>
        </r>
      </text>
    </comment>
    <comment ref="F32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5" authorId="2">
      <text/>
    </comment>
    <comment ref="C3256" authorId="2">
      <text>
        <r>
          <rPr>
            <sz val="11"/>
            <color theme="1"/>
            <rFont val="Calibri"/>
            <family val="2"/>
            <scheme val="minor"/>
          </rPr>
          <t>Introduzca la fecha prevista de adjudicación, en formato dd-mm-aaaa</t>
        </r>
      </text>
    </comment>
    <comment ref="F3256" authorId="2">
      <text/>
    </comment>
    <comment ref="F3257" authorId="2">
      <text/>
    </comment>
    <comment ref="A3259" authorId="2">
      <text>
        <r>
          <rPr>
            <sz val="11"/>
            <color theme="1"/>
            <rFont val="Calibri"/>
            <family val="2"/>
            <scheme val="minor"/>
          </rPr>
          <t>Introduzca un codigo UNSPSC</t>
        </r>
      </text>
    </comment>
    <comment ref="B3259" authorId="2">
      <text>
        <r>
          <rPr>
            <sz val="11"/>
            <color theme="1"/>
            <rFont val="Calibri"/>
            <family val="2"/>
            <scheme val="minor"/>
          </rPr>
          <t>Descripción calculada automáticamente a partir de código del artículo</t>
        </r>
      </text>
    </comment>
    <comment ref="C3259" authorId="2">
      <text>
        <r>
          <rPr>
            <sz val="11"/>
            <color theme="1"/>
            <rFont val="Calibri"/>
            <family val="2"/>
            <scheme val="minor"/>
          </rPr>
          <t>Seleccione un valor de la lista</t>
        </r>
      </text>
    </comment>
    <comment ref="D3259" authorId="2">
      <text>
        <r>
          <rPr>
            <sz val="11"/>
            <color theme="1"/>
            <rFont val="Calibri"/>
            <family val="2"/>
            <scheme val="minor"/>
          </rPr>
          <t>Introduzca un número con dos decimales como máximo. Debe ser igual o mayor a la "Cantidad Real Consumida"</t>
        </r>
      </text>
    </comment>
    <comment ref="E3259" authorId="2">
      <text>
        <r>
          <rPr>
            <sz val="11"/>
            <color theme="1"/>
            <rFont val="Calibri"/>
            <family val="2"/>
            <scheme val="minor"/>
          </rPr>
          <t>Introduzca un número con dos decimales como máximo</t>
        </r>
      </text>
    </comment>
    <comment ref="F3259" authorId="2">
      <text>
        <r>
          <rPr>
            <sz val="11"/>
            <color theme="1"/>
            <rFont val="Calibri"/>
            <family val="2"/>
            <scheme val="minor"/>
          </rPr>
          <t>Monto calculado automáticamente por el sistema</t>
        </r>
      </text>
    </comment>
    <comment ref="A3270" authorId="2">
      <text>
        <r>
          <rPr>
            <sz val="11"/>
            <color theme="1"/>
            <rFont val="Calibri"/>
            <family val="2"/>
            <scheme val="minor"/>
          </rPr>
          <t>Introducir un texto con el nombre o referencia de la contratación</t>
        </r>
      </text>
    </comment>
    <comment ref="B3270" authorId="2">
      <text>
        <r>
          <rPr>
            <sz val="11"/>
            <color theme="1"/>
            <rFont val="Calibri"/>
            <family val="2"/>
            <scheme val="minor"/>
          </rPr>
          <t>Introduzca un texto con la finalidad de la contratación</t>
        </r>
      </text>
    </comment>
    <comment ref="C3270" authorId="2">
      <text>
        <r>
          <rPr>
            <sz val="11"/>
            <color theme="1"/>
            <rFont val="Calibri"/>
            <family val="2"/>
            <scheme val="minor"/>
          </rPr>
          <t>Seleccionar un valor del listado</t>
        </r>
      </text>
    </comment>
    <comment ref="D3270" authorId="2">
      <text>
        <r>
          <rPr>
            <sz val="11"/>
            <color theme="1"/>
            <rFont val="Calibri"/>
            <family val="2"/>
            <scheme val="minor"/>
          </rPr>
          <t>Seleccione el tipo de procedimiento</t>
        </r>
      </text>
    </comment>
    <comment ref="E3270" authorId="2">
      <text>
        <r>
          <rPr>
            <sz val="11"/>
            <color theme="1"/>
            <rFont val="Calibri"/>
            <family val="2"/>
            <scheme val="minor"/>
          </rPr>
          <t>Seleccione un valor de la lista</t>
        </r>
      </text>
    </comment>
    <comment ref="F3270" authorId="2">
      <text>
        <r>
          <rPr>
            <sz val="11"/>
            <color theme="1"/>
            <rFont val="Calibri"/>
            <family val="2"/>
            <scheme val="minor"/>
          </rPr>
          <t>Introduzca el código SNIP</t>
        </r>
      </text>
    </comment>
    <comment ref="C3271" authorId="2">
      <text>
        <r>
          <rPr>
            <sz val="11"/>
            <color theme="1"/>
            <rFont val="Calibri"/>
            <family val="2"/>
            <scheme val="minor"/>
          </rPr>
          <t>Introduzca la fecha de inicio del proceso, en formato dd-mm-aaaa</t>
        </r>
      </text>
    </comment>
    <comment ref="F32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2" authorId="2">
      <text/>
    </comment>
    <comment ref="C3273" authorId="2">
      <text>
        <r>
          <rPr>
            <sz val="11"/>
            <color theme="1"/>
            <rFont val="Calibri"/>
            <family val="2"/>
            <scheme val="minor"/>
          </rPr>
          <t>Introduzca la fecha prevista de adjudicación, en formato dd-mm-aaaa</t>
        </r>
      </text>
    </comment>
    <comment ref="F3273" authorId="2">
      <text/>
    </comment>
    <comment ref="F3274" authorId="2">
      <text/>
    </comment>
    <comment ref="A3276" authorId="2">
      <text>
        <r>
          <rPr>
            <sz val="11"/>
            <color theme="1"/>
            <rFont val="Calibri"/>
            <family val="2"/>
            <scheme val="minor"/>
          </rPr>
          <t>Introduzca un codigo UNSPSC</t>
        </r>
      </text>
    </comment>
    <comment ref="B3276" authorId="2">
      <text>
        <r>
          <rPr>
            <sz val="11"/>
            <color theme="1"/>
            <rFont val="Calibri"/>
            <family val="2"/>
            <scheme val="minor"/>
          </rPr>
          <t>Descripción calculada automáticamente a partir de código del artículo</t>
        </r>
      </text>
    </comment>
    <comment ref="C3276" authorId="2">
      <text>
        <r>
          <rPr>
            <sz val="11"/>
            <color theme="1"/>
            <rFont val="Calibri"/>
            <family val="2"/>
            <scheme val="minor"/>
          </rPr>
          <t>Seleccione un valor de la lista</t>
        </r>
      </text>
    </comment>
    <comment ref="D3276" authorId="2">
      <text>
        <r>
          <rPr>
            <sz val="11"/>
            <color theme="1"/>
            <rFont val="Calibri"/>
            <family val="2"/>
            <scheme val="minor"/>
          </rPr>
          <t>Introduzca un número con dos decimales como máximo. Debe ser igual o mayor a la "Cantidad Real Consumida"</t>
        </r>
      </text>
    </comment>
    <comment ref="E3276" authorId="2">
      <text>
        <r>
          <rPr>
            <sz val="11"/>
            <color theme="1"/>
            <rFont val="Calibri"/>
            <family val="2"/>
            <scheme val="minor"/>
          </rPr>
          <t>Introduzca un número con dos decimales como máximo</t>
        </r>
      </text>
    </comment>
    <comment ref="F3276" authorId="2">
      <text>
        <r>
          <rPr>
            <sz val="11"/>
            <color theme="1"/>
            <rFont val="Calibri"/>
            <family val="2"/>
            <scheme val="minor"/>
          </rPr>
          <t>Monto calculado automáticamente por el sistema</t>
        </r>
      </text>
    </comment>
    <comment ref="A3281" authorId="2">
      <text>
        <r>
          <rPr>
            <sz val="11"/>
            <color theme="1"/>
            <rFont val="Calibri"/>
            <family val="2"/>
            <scheme val="minor"/>
          </rPr>
          <t>Introducir un texto con el nombre o referencia de la contratación</t>
        </r>
      </text>
    </comment>
    <comment ref="B3281" authorId="2">
      <text>
        <r>
          <rPr>
            <sz val="11"/>
            <color theme="1"/>
            <rFont val="Calibri"/>
            <family val="2"/>
            <scheme val="minor"/>
          </rPr>
          <t>Introduzca un texto con la finalidad de la contratación</t>
        </r>
      </text>
    </comment>
    <comment ref="C3281" authorId="2">
      <text>
        <r>
          <rPr>
            <sz val="11"/>
            <color theme="1"/>
            <rFont val="Calibri"/>
            <family val="2"/>
            <scheme val="minor"/>
          </rPr>
          <t>Seleccionar un valor del listado</t>
        </r>
      </text>
    </comment>
    <comment ref="D3281" authorId="2">
      <text>
        <r>
          <rPr>
            <sz val="11"/>
            <color theme="1"/>
            <rFont val="Calibri"/>
            <family val="2"/>
            <scheme val="minor"/>
          </rPr>
          <t>Seleccione el tipo de procedimiento</t>
        </r>
      </text>
    </comment>
    <comment ref="E3281" authorId="2">
      <text>
        <r>
          <rPr>
            <sz val="11"/>
            <color theme="1"/>
            <rFont val="Calibri"/>
            <family val="2"/>
            <scheme val="minor"/>
          </rPr>
          <t>Seleccione un valor de la lista</t>
        </r>
      </text>
    </comment>
    <comment ref="F3281" authorId="2">
      <text>
        <r>
          <rPr>
            <sz val="11"/>
            <color theme="1"/>
            <rFont val="Calibri"/>
            <family val="2"/>
            <scheme val="minor"/>
          </rPr>
          <t>Introduzca el código SNIP</t>
        </r>
      </text>
    </comment>
    <comment ref="C3282" authorId="2">
      <text>
        <r>
          <rPr>
            <sz val="11"/>
            <color theme="1"/>
            <rFont val="Calibri"/>
            <family val="2"/>
            <scheme val="minor"/>
          </rPr>
          <t>Introduzca la fecha de inicio del proceso, en formato dd-mm-aaaa</t>
        </r>
      </text>
    </comment>
    <comment ref="F32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3" authorId="2">
      <text/>
    </comment>
    <comment ref="C3284" authorId="2">
      <text>
        <r>
          <rPr>
            <sz val="11"/>
            <color theme="1"/>
            <rFont val="Calibri"/>
            <family val="2"/>
            <scheme val="minor"/>
          </rPr>
          <t>Introduzca la fecha prevista de adjudicación, en formato dd-mm-aaaa</t>
        </r>
      </text>
    </comment>
    <comment ref="F3284" authorId="2">
      <text/>
    </comment>
    <comment ref="F3285" authorId="2">
      <text/>
    </comment>
    <comment ref="A3287" authorId="2">
      <text>
        <r>
          <rPr>
            <sz val="11"/>
            <color theme="1"/>
            <rFont val="Calibri"/>
            <family val="2"/>
            <scheme val="minor"/>
          </rPr>
          <t>Introduzca un codigo UNSPSC</t>
        </r>
      </text>
    </comment>
    <comment ref="B3287" authorId="2">
      <text>
        <r>
          <rPr>
            <sz val="11"/>
            <color theme="1"/>
            <rFont val="Calibri"/>
            <family val="2"/>
            <scheme val="minor"/>
          </rPr>
          <t>Descripción calculada automáticamente a partir de código del artículo</t>
        </r>
      </text>
    </comment>
    <comment ref="C3287" authorId="2">
      <text>
        <r>
          <rPr>
            <sz val="11"/>
            <color theme="1"/>
            <rFont val="Calibri"/>
            <family val="2"/>
            <scheme val="minor"/>
          </rPr>
          <t>Seleccione un valor de la lista</t>
        </r>
      </text>
    </comment>
    <comment ref="D3287" authorId="2">
      <text>
        <r>
          <rPr>
            <sz val="11"/>
            <color theme="1"/>
            <rFont val="Calibri"/>
            <family val="2"/>
            <scheme val="minor"/>
          </rPr>
          <t>Introduzca un número con dos decimales como máximo. Debe ser igual o mayor a la "Cantidad Real Consumida"</t>
        </r>
      </text>
    </comment>
    <comment ref="E3287" authorId="2">
      <text>
        <r>
          <rPr>
            <sz val="11"/>
            <color theme="1"/>
            <rFont val="Calibri"/>
            <family val="2"/>
            <scheme val="minor"/>
          </rPr>
          <t>Introduzca un número con dos decimales como máximo</t>
        </r>
      </text>
    </comment>
    <comment ref="F3287" authorId="2">
      <text>
        <r>
          <rPr>
            <sz val="11"/>
            <color theme="1"/>
            <rFont val="Calibri"/>
            <family val="2"/>
            <scheme val="minor"/>
          </rPr>
          <t>Monto calculado automáticamente por el sistema</t>
        </r>
      </text>
    </comment>
    <comment ref="A3293" authorId="2">
      <text>
        <r>
          <rPr>
            <sz val="11"/>
            <color theme="1"/>
            <rFont val="Calibri"/>
            <family val="2"/>
            <scheme val="minor"/>
          </rPr>
          <t>Introducir un texto con el nombre o referencia de la contratación</t>
        </r>
      </text>
    </comment>
    <comment ref="B3293" authorId="2">
      <text>
        <r>
          <rPr>
            <sz val="11"/>
            <color theme="1"/>
            <rFont val="Calibri"/>
            <family val="2"/>
            <scheme val="minor"/>
          </rPr>
          <t>Introduzca un texto con la finalidad de la contratación</t>
        </r>
      </text>
    </comment>
    <comment ref="C3293" authorId="2">
      <text>
        <r>
          <rPr>
            <sz val="11"/>
            <color theme="1"/>
            <rFont val="Calibri"/>
            <family val="2"/>
            <scheme val="minor"/>
          </rPr>
          <t>Seleccionar un valor del listado</t>
        </r>
      </text>
    </comment>
    <comment ref="D3293" authorId="2">
      <text>
        <r>
          <rPr>
            <sz val="11"/>
            <color theme="1"/>
            <rFont val="Calibri"/>
            <family val="2"/>
            <scheme val="minor"/>
          </rPr>
          <t>Seleccione el tipo de procedimiento</t>
        </r>
      </text>
    </comment>
    <comment ref="E3293" authorId="2">
      <text>
        <r>
          <rPr>
            <sz val="11"/>
            <color theme="1"/>
            <rFont val="Calibri"/>
            <family val="2"/>
            <scheme val="minor"/>
          </rPr>
          <t>Seleccione un valor de la lista</t>
        </r>
      </text>
    </comment>
    <comment ref="F3293" authorId="2">
      <text>
        <r>
          <rPr>
            <sz val="11"/>
            <color theme="1"/>
            <rFont val="Calibri"/>
            <family val="2"/>
            <scheme val="minor"/>
          </rPr>
          <t>Introduzca el código SNIP</t>
        </r>
      </text>
    </comment>
    <comment ref="C3294" authorId="2">
      <text>
        <r>
          <rPr>
            <sz val="11"/>
            <color theme="1"/>
            <rFont val="Calibri"/>
            <family val="2"/>
            <scheme val="minor"/>
          </rPr>
          <t>Introduzca la fecha de inicio del proceso, en formato dd-mm-aaaa</t>
        </r>
      </text>
    </comment>
    <comment ref="F32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5" authorId="2">
      <text/>
    </comment>
    <comment ref="C3296" authorId="2">
      <text>
        <r>
          <rPr>
            <sz val="11"/>
            <color theme="1"/>
            <rFont val="Calibri"/>
            <family val="2"/>
            <scheme val="minor"/>
          </rPr>
          <t>Introduzca la fecha prevista de adjudicación, en formato dd-mm-aaaa</t>
        </r>
      </text>
    </comment>
    <comment ref="F3296" authorId="2">
      <text/>
    </comment>
    <comment ref="F3297" authorId="2">
      <text/>
    </comment>
    <comment ref="A3299" authorId="2">
      <text>
        <r>
          <rPr>
            <sz val="11"/>
            <color theme="1"/>
            <rFont val="Calibri"/>
            <family val="2"/>
            <scheme val="minor"/>
          </rPr>
          <t>Introduzca un codigo UNSPSC</t>
        </r>
      </text>
    </comment>
    <comment ref="B3299" authorId="2">
      <text>
        <r>
          <rPr>
            <sz val="11"/>
            <color theme="1"/>
            <rFont val="Calibri"/>
            <family val="2"/>
            <scheme val="minor"/>
          </rPr>
          <t>Descripción calculada automáticamente a partir de código del artículo</t>
        </r>
      </text>
    </comment>
    <comment ref="C3299" authorId="2">
      <text>
        <r>
          <rPr>
            <sz val="11"/>
            <color theme="1"/>
            <rFont val="Calibri"/>
            <family val="2"/>
            <scheme val="minor"/>
          </rPr>
          <t>Seleccione un valor de la lista</t>
        </r>
      </text>
    </comment>
    <comment ref="D3299" authorId="2">
      <text>
        <r>
          <rPr>
            <sz val="11"/>
            <color theme="1"/>
            <rFont val="Calibri"/>
            <family val="2"/>
            <scheme val="minor"/>
          </rPr>
          <t>Introduzca un número con dos decimales como máximo. Debe ser igual o mayor a la "Cantidad Real Consumida"</t>
        </r>
      </text>
    </comment>
    <comment ref="E3299" authorId="2">
      <text>
        <r>
          <rPr>
            <sz val="11"/>
            <color theme="1"/>
            <rFont val="Calibri"/>
            <family val="2"/>
            <scheme val="minor"/>
          </rPr>
          <t>Introduzca un número con dos decimales como máximo</t>
        </r>
      </text>
    </comment>
    <comment ref="F3299" authorId="2">
      <text>
        <r>
          <rPr>
            <sz val="11"/>
            <color theme="1"/>
            <rFont val="Calibri"/>
            <family val="2"/>
            <scheme val="minor"/>
          </rPr>
          <t>Monto calculado automáticamente por el sistema</t>
        </r>
      </text>
    </comment>
    <comment ref="A3304" authorId="2">
      <text>
        <r>
          <rPr>
            <sz val="11"/>
            <color theme="1"/>
            <rFont val="Calibri"/>
            <family val="2"/>
            <scheme val="minor"/>
          </rPr>
          <t>Introducir un texto con el nombre o referencia de la contratación</t>
        </r>
      </text>
    </comment>
    <comment ref="B3304" authorId="2">
      <text>
        <r>
          <rPr>
            <sz val="11"/>
            <color theme="1"/>
            <rFont val="Calibri"/>
            <family val="2"/>
            <scheme val="minor"/>
          </rPr>
          <t>Introduzca un texto con la finalidad de la contratación</t>
        </r>
      </text>
    </comment>
    <comment ref="C3304" authorId="2">
      <text>
        <r>
          <rPr>
            <sz val="11"/>
            <color theme="1"/>
            <rFont val="Calibri"/>
            <family val="2"/>
            <scheme val="minor"/>
          </rPr>
          <t>Seleccionar un valor del listado</t>
        </r>
      </text>
    </comment>
    <comment ref="D3304" authorId="2">
      <text>
        <r>
          <rPr>
            <sz val="11"/>
            <color theme="1"/>
            <rFont val="Calibri"/>
            <family val="2"/>
            <scheme val="minor"/>
          </rPr>
          <t>Seleccione el tipo de procedimiento</t>
        </r>
      </text>
    </comment>
    <comment ref="E3304" authorId="2">
      <text>
        <r>
          <rPr>
            <sz val="11"/>
            <color theme="1"/>
            <rFont val="Calibri"/>
            <family val="2"/>
            <scheme val="minor"/>
          </rPr>
          <t>Seleccione un valor de la lista</t>
        </r>
      </text>
    </comment>
    <comment ref="F3304" authorId="2">
      <text>
        <r>
          <rPr>
            <sz val="11"/>
            <color theme="1"/>
            <rFont val="Calibri"/>
            <family val="2"/>
            <scheme val="minor"/>
          </rPr>
          <t>Introduzca el código SNIP</t>
        </r>
      </text>
    </comment>
    <comment ref="C3305" authorId="2">
      <text>
        <r>
          <rPr>
            <sz val="11"/>
            <color theme="1"/>
            <rFont val="Calibri"/>
            <family val="2"/>
            <scheme val="minor"/>
          </rPr>
          <t>Introduzca la fecha de inicio del proceso, en formato dd-mm-aaaa</t>
        </r>
      </text>
    </comment>
    <comment ref="F33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6" authorId="2">
      <text/>
    </comment>
    <comment ref="C3307" authorId="2">
      <text>
        <r>
          <rPr>
            <sz val="11"/>
            <color theme="1"/>
            <rFont val="Calibri"/>
            <family val="2"/>
            <scheme val="minor"/>
          </rPr>
          <t>Introduzca la fecha prevista de adjudicación, en formato dd-mm-aaaa</t>
        </r>
      </text>
    </comment>
    <comment ref="F3307" authorId="2">
      <text/>
    </comment>
    <comment ref="F3308" authorId="2">
      <text/>
    </comment>
    <comment ref="A3310" authorId="2">
      <text>
        <r>
          <rPr>
            <sz val="11"/>
            <color theme="1"/>
            <rFont val="Calibri"/>
            <family val="2"/>
            <scheme val="minor"/>
          </rPr>
          <t>Introduzca un codigo UNSPSC</t>
        </r>
      </text>
    </comment>
    <comment ref="B3310" authorId="2">
      <text>
        <r>
          <rPr>
            <sz val="11"/>
            <color theme="1"/>
            <rFont val="Calibri"/>
            <family val="2"/>
            <scheme val="minor"/>
          </rPr>
          <t>Descripción calculada automáticamente a partir de código del artículo</t>
        </r>
      </text>
    </comment>
    <comment ref="C3310" authorId="2">
      <text>
        <r>
          <rPr>
            <sz val="11"/>
            <color theme="1"/>
            <rFont val="Calibri"/>
            <family val="2"/>
            <scheme val="minor"/>
          </rPr>
          <t>Seleccione un valor de la lista</t>
        </r>
      </text>
    </comment>
    <comment ref="D3310" authorId="2">
      <text>
        <r>
          <rPr>
            <sz val="11"/>
            <color theme="1"/>
            <rFont val="Calibri"/>
            <family val="2"/>
            <scheme val="minor"/>
          </rPr>
          <t>Introduzca un número con dos decimales como máximo. Debe ser igual o mayor a la "Cantidad Real Consumida"</t>
        </r>
      </text>
    </comment>
    <comment ref="E3310" authorId="2">
      <text>
        <r>
          <rPr>
            <sz val="11"/>
            <color theme="1"/>
            <rFont val="Calibri"/>
            <family val="2"/>
            <scheme val="minor"/>
          </rPr>
          <t>Introduzca un número con dos decimales como máximo</t>
        </r>
      </text>
    </comment>
    <comment ref="F3310" authorId="2">
      <text>
        <r>
          <rPr>
            <sz val="11"/>
            <color theme="1"/>
            <rFont val="Calibri"/>
            <family val="2"/>
            <scheme val="minor"/>
          </rPr>
          <t>Monto calculado automáticamente por el sistema</t>
        </r>
      </text>
    </comment>
    <comment ref="A3315" authorId="2">
      <text>
        <r>
          <rPr>
            <sz val="11"/>
            <color theme="1"/>
            <rFont val="Calibri"/>
            <family val="2"/>
            <scheme val="minor"/>
          </rPr>
          <t>Introducir un texto con el nombre o referencia de la contratación</t>
        </r>
      </text>
    </comment>
    <comment ref="B3315" authorId="2">
      <text>
        <r>
          <rPr>
            <sz val="11"/>
            <color theme="1"/>
            <rFont val="Calibri"/>
            <family val="2"/>
            <scheme val="minor"/>
          </rPr>
          <t>Introduzca un texto con la finalidad de la contratación</t>
        </r>
      </text>
    </comment>
    <comment ref="C3315" authorId="2">
      <text>
        <r>
          <rPr>
            <sz val="11"/>
            <color theme="1"/>
            <rFont val="Calibri"/>
            <family val="2"/>
            <scheme val="minor"/>
          </rPr>
          <t>Seleccionar un valor del listado</t>
        </r>
      </text>
    </comment>
    <comment ref="D3315" authorId="2">
      <text>
        <r>
          <rPr>
            <sz val="11"/>
            <color theme="1"/>
            <rFont val="Calibri"/>
            <family val="2"/>
            <scheme val="minor"/>
          </rPr>
          <t>Seleccione el tipo de procedimiento</t>
        </r>
      </text>
    </comment>
    <comment ref="E3315" authorId="2">
      <text>
        <r>
          <rPr>
            <sz val="11"/>
            <color theme="1"/>
            <rFont val="Calibri"/>
            <family val="2"/>
            <scheme val="minor"/>
          </rPr>
          <t>Seleccione un valor de la lista</t>
        </r>
      </text>
    </comment>
    <comment ref="F3315" authorId="2">
      <text>
        <r>
          <rPr>
            <sz val="11"/>
            <color theme="1"/>
            <rFont val="Calibri"/>
            <family val="2"/>
            <scheme val="minor"/>
          </rPr>
          <t>Introduzca el código SNIP</t>
        </r>
      </text>
    </comment>
    <comment ref="C3316" authorId="2">
      <text>
        <r>
          <rPr>
            <sz val="11"/>
            <color theme="1"/>
            <rFont val="Calibri"/>
            <family val="2"/>
            <scheme val="minor"/>
          </rPr>
          <t>Introduzca la fecha de inicio del proceso, en formato dd-mm-aaaa</t>
        </r>
      </text>
    </comment>
    <comment ref="F33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7" authorId="2">
      <text/>
    </comment>
    <comment ref="C3318" authorId="2">
      <text>
        <r>
          <rPr>
            <sz val="11"/>
            <color theme="1"/>
            <rFont val="Calibri"/>
            <family val="2"/>
            <scheme val="minor"/>
          </rPr>
          <t>Introduzca la fecha prevista de adjudicación, en formato dd-mm-aaaa</t>
        </r>
      </text>
    </comment>
    <comment ref="F3318" authorId="2">
      <text/>
    </comment>
    <comment ref="F3319" authorId="2">
      <text/>
    </comment>
    <comment ref="A3321" authorId="2">
      <text>
        <r>
          <rPr>
            <sz val="11"/>
            <color theme="1"/>
            <rFont val="Calibri"/>
            <family val="2"/>
            <scheme val="minor"/>
          </rPr>
          <t>Introduzca un codigo UNSPSC</t>
        </r>
      </text>
    </comment>
    <comment ref="B3321" authorId="2">
      <text>
        <r>
          <rPr>
            <sz val="11"/>
            <color theme="1"/>
            <rFont val="Calibri"/>
            <family val="2"/>
            <scheme val="minor"/>
          </rPr>
          <t>Descripción calculada automáticamente a partir de código del artículo</t>
        </r>
      </text>
    </comment>
    <comment ref="C3321" authorId="2">
      <text>
        <r>
          <rPr>
            <sz val="11"/>
            <color theme="1"/>
            <rFont val="Calibri"/>
            <family val="2"/>
            <scheme val="minor"/>
          </rPr>
          <t>Seleccione un valor de la lista</t>
        </r>
      </text>
    </comment>
    <comment ref="D3321" authorId="2">
      <text>
        <r>
          <rPr>
            <sz val="11"/>
            <color theme="1"/>
            <rFont val="Calibri"/>
            <family val="2"/>
            <scheme val="minor"/>
          </rPr>
          <t>Introduzca un número con dos decimales como máximo. Debe ser igual o mayor a la "Cantidad Real Consumida"</t>
        </r>
      </text>
    </comment>
    <comment ref="E3321" authorId="2">
      <text>
        <r>
          <rPr>
            <sz val="11"/>
            <color theme="1"/>
            <rFont val="Calibri"/>
            <family val="2"/>
            <scheme val="minor"/>
          </rPr>
          <t>Introduzca un número con dos decimales como máximo</t>
        </r>
      </text>
    </comment>
    <comment ref="F3321" authorId="2">
      <text>
        <r>
          <rPr>
            <sz val="11"/>
            <color theme="1"/>
            <rFont val="Calibri"/>
            <family val="2"/>
            <scheme val="minor"/>
          </rPr>
          <t>Monto calculado automáticamente por el sistema</t>
        </r>
      </text>
    </comment>
    <comment ref="A3326" authorId="2">
      <text>
        <r>
          <rPr>
            <sz val="11"/>
            <color theme="1"/>
            <rFont val="Calibri"/>
            <family val="2"/>
            <scheme val="minor"/>
          </rPr>
          <t>Introducir un texto con el nombre o referencia de la contratación</t>
        </r>
      </text>
    </comment>
    <comment ref="B3326" authorId="2">
      <text>
        <r>
          <rPr>
            <sz val="11"/>
            <color theme="1"/>
            <rFont val="Calibri"/>
            <family val="2"/>
            <scheme val="minor"/>
          </rPr>
          <t>Introduzca un texto con la finalidad de la contratación</t>
        </r>
      </text>
    </comment>
    <comment ref="C3326" authorId="2">
      <text>
        <r>
          <rPr>
            <sz val="11"/>
            <color theme="1"/>
            <rFont val="Calibri"/>
            <family val="2"/>
            <scheme val="minor"/>
          </rPr>
          <t>Seleccionar un valor del listado</t>
        </r>
      </text>
    </comment>
    <comment ref="D3326" authorId="2">
      <text>
        <r>
          <rPr>
            <sz val="11"/>
            <color theme="1"/>
            <rFont val="Calibri"/>
            <family val="2"/>
            <scheme val="minor"/>
          </rPr>
          <t>Seleccione el tipo de procedimiento</t>
        </r>
      </text>
    </comment>
    <comment ref="E3326" authorId="2">
      <text>
        <r>
          <rPr>
            <sz val="11"/>
            <color theme="1"/>
            <rFont val="Calibri"/>
            <family val="2"/>
            <scheme val="minor"/>
          </rPr>
          <t>Seleccione un valor de la lista</t>
        </r>
      </text>
    </comment>
    <comment ref="F3326" authorId="2">
      <text>
        <r>
          <rPr>
            <sz val="11"/>
            <color theme="1"/>
            <rFont val="Calibri"/>
            <family val="2"/>
            <scheme val="minor"/>
          </rPr>
          <t>Introduzca el código SNIP</t>
        </r>
      </text>
    </comment>
    <comment ref="C3327" authorId="2">
      <text>
        <r>
          <rPr>
            <sz val="11"/>
            <color theme="1"/>
            <rFont val="Calibri"/>
            <family val="2"/>
            <scheme val="minor"/>
          </rPr>
          <t>Introduzca la fecha de inicio del proceso, en formato dd-mm-aaaa</t>
        </r>
      </text>
    </comment>
    <comment ref="F33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8" authorId="2">
      <text/>
    </comment>
    <comment ref="C3329" authorId="2">
      <text>
        <r>
          <rPr>
            <sz val="11"/>
            <color theme="1"/>
            <rFont val="Calibri"/>
            <family val="2"/>
            <scheme val="minor"/>
          </rPr>
          <t>Introduzca la fecha prevista de adjudicación, en formato dd-mm-aaaa</t>
        </r>
      </text>
    </comment>
    <comment ref="F3329" authorId="2">
      <text/>
    </comment>
    <comment ref="F3330" authorId="2">
      <text/>
    </comment>
    <comment ref="A3332" authorId="2">
      <text>
        <r>
          <rPr>
            <sz val="11"/>
            <color theme="1"/>
            <rFont val="Calibri"/>
            <family val="2"/>
            <scheme val="minor"/>
          </rPr>
          <t>Introduzca un codigo UNSPSC</t>
        </r>
      </text>
    </comment>
    <comment ref="B3332" authorId="2">
      <text>
        <r>
          <rPr>
            <sz val="11"/>
            <color theme="1"/>
            <rFont val="Calibri"/>
            <family val="2"/>
            <scheme val="minor"/>
          </rPr>
          <t>Descripción calculada automáticamente a partir de código del artículo</t>
        </r>
      </text>
    </comment>
    <comment ref="C3332" authorId="2">
      <text>
        <r>
          <rPr>
            <sz val="11"/>
            <color theme="1"/>
            <rFont val="Calibri"/>
            <family val="2"/>
            <scheme val="minor"/>
          </rPr>
          <t>Seleccione un valor de la lista</t>
        </r>
      </text>
    </comment>
    <comment ref="D3332" authorId="2">
      <text>
        <r>
          <rPr>
            <sz val="11"/>
            <color theme="1"/>
            <rFont val="Calibri"/>
            <family val="2"/>
            <scheme val="minor"/>
          </rPr>
          <t>Introduzca un número con dos decimales como máximo. Debe ser igual o mayor a la "Cantidad Real Consumida"</t>
        </r>
      </text>
    </comment>
    <comment ref="E3332" authorId="2">
      <text>
        <r>
          <rPr>
            <sz val="11"/>
            <color theme="1"/>
            <rFont val="Calibri"/>
            <family val="2"/>
            <scheme val="minor"/>
          </rPr>
          <t>Introduzca un número con dos decimales como máximo</t>
        </r>
      </text>
    </comment>
    <comment ref="F3332" authorId="2">
      <text>
        <r>
          <rPr>
            <sz val="11"/>
            <color theme="1"/>
            <rFont val="Calibri"/>
            <family val="2"/>
            <scheme val="minor"/>
          </rPr>
          <t>Monto calculado automáticamente por el sistema</t>
        </r>
      </text>
    </comment>
    <comment ref="A3337" authorId="2">
      <text>
        <r>
          <rPr>
            <sz val="11"/>
            <color theme="1"/>
            <rFont val="Calibri"/>
            <family val="2"/>
            <scheme val="minor"/>
          </rPr>
          <t>Introducir un texto con el nombre o referencia de la contratación</t>
        </r>
      </text>
    </comment>
    <comment ref="B3337" authorId="2">
      <text>
        <r>
          <rPr>
            <sz val="11"/>
            <color theme="1"/>
            <rFont val="Calibri"/>
            <family val="2"/>
            <scheme val="minor"/>
          </rPr>
          <t>Introduzca un texto con la finalidad de la contratación</t>
        </r>
      </text>
    </comment>
    <comment ref="C3337" authorId="2">
      <text>
        <r>
          <rPr>
            <sz val="11"/>
            <color theme="1"/>
            <rFont val="Calibri"/>
            <family val="2"/>
            <scheme val="minor"/>
          </rPr>
          <t>Seleccionar un valor del listado</t>
        </r>
      </text>
    </comment>
    <comment ref="D3337" authorId="2">
      <text>
        <r>
          <rPr>
            <sz val="11"/>
            <color theme="1"/>
            <rFont val="Calibri"/>
            <family val="2"/>
            <scheme val="minor"/>
          </rPr>
          <t>Seleccione el tipo de procedimiento</t>
        </r>
      </text>
    </comment>
    <comment ref="E3337" authorId="2">
      <text>
        <r>
          <rPr>
            <sz val="11"/>
            <color theme="1"/>
            <rFont val="Calibri"/>
            <family val="2"/>
            <scheme val="minor"/>
          </rPr>
          <t>Seleccione un valor de la lista</t>
        </r>
      </text>
    </comment>
    <comment ref="F3337" authorId="2">
      <text>
        <r>
          <rPr>
            <sz val="11"/>
            <color theme="1"/>
            <rFont val="Calibri"/>
            <family val="2"/>
            <scheme val="minor"/>
          </rPr>
          <t>Introduzca el código SNIP</t>
        </r>
      </text>
    </comment>
    <comment ref="C3338" authorId="2">
      <text>
        <r>
          <rPr>
            <sz val="11"/>
            <color theme="1"/>
            <rFont val="Calibri"/>
            <family val="2"/>
            <scheme val="minor"/>
          </rPr>
          <t>Introduzca la fecha de inicio del proceso, en formato dd-mm-aaaa</t>
        </r>
      </text>
    </comment>
    <comment ref="F33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9" authorId="2">
      <text/>
    </comment>
    <comment ref="C3340" authorId="2">
      <text>
        <r>
          <rPr>
            <sz val="11"/>
            <color theme="1"/>
            <rFont val="Calibri"/>
            <family val="2"/>
            <scheme val="minor"/>
          </rPr>
          <t>Introduzca la fecha prevista de adjudicación, en formato dd-mm-aaaa</t>
        </r>
      </text>
    </comment>
    <comment ref="F3340" authorId="2">
      <text/>
    </comment>
    <comment ref="F3341" authorId="2">
      <text/>
    </comment>
    <comment ref="A3343" authorId="2">
      <text>
        <r>
          <rPr>
            <sz val="11"/>
            <color theme="1"/>
            <rFont val="Calibri"/>
            <family val="2"/>
            <scheme val="minor"/>
          </rPr>
          <t>Introduzca un codigo UNSPSC</t>
        </r>
      </text>
    </comment>
    <comment ref="B3343" authorId="2">
      <text>
        <r>
          <rPr>
            <sz val="11"/>
            <color theme="1"/>
            <rFont val="Calibri"/>
            <family val="2"/>
            <scheme val="minor"/>
          </rPr>
          <t>Descripción calculada automáticamente a partir de código del artículo</t>
        </r>
      </text>
    </comment>
    <comment ref="C3343" authorId="2">
      <text>
        <r>
          <rPr>
            <sz val="11"/>
            <color theme="1"/>
            <rFont val="Calibri"/>
            <family val="2"/>
            <scheme val="minor"/>
          </rPr>
          <t>Seleccione un valor de la lista</t>
        </r>
      </text>
    </comment>
    <comment ref="D3343" authorId="2">
      <text>
        <r>
          <rPr>
            <sz val="11"/>
            <color theme="1"/>
            <rFont val="Calibri"/>
            <family val="2"/>
            <scheme val="minor"/>
          </rPr>
          <t>Introduzca un número con dos decimales como máximo. Debe ser igual o mayor a la "Cantidad Real Consumida"</t>
        </r>
      </text>
    </comment>
    <comment ref="E3343" authorId="2">
      <text>
        <r>
          <rPr>
            <sz val="11"/>
            <color theme="1"/>
            <rFont val="Calibri"/>
            <family val="2"/>
            <scheme val="minor"/>
          </rPr>
          <t>Introduzca un número con dos decimales como máximo</t>
        </r>
      </text>
    </comment>
    <comment ref="F3343" authorId="2">
      <text>
        <r>
          <rPr>
            <sz val="11"/>
            <color theme="1"/>
            <rFont val="Calibri"/>
            <family val="2"/>
            <scheme val="minor"/>
          </rPr>
          <t>Monto calculado automáticamente por el sistema</t>
        </r>
      </text>
    </comment>
    <comment ref="A3361" authorId="2">
      <text>
        <r>
          <rPr>
            <sz val="11"/>
            <color theme="1"/>
            <rFont val="Calibri"/>
            <family val="2"/>
            <scheme val="minor"/>
          </rPr>
          <t>Introducir un texto con el nombre o referencia de la contratación</t>
        </r>
      </text>
    </comment>
    <comment ref="B3361" authorId="2">
      <text>
        <r>
          <rPr>
            <sz val="11"/>
            <color theme="1"/>
            <rFont val="Calibri"/>
            <family val="2"/>
            <scheme val="minor"/>
          </rPr>
          <t>Introduzca un texto con la finalidad de la contratación</t>
        </r>
      </text>
    </comment>
    <comment ref="C3361" authorId="2">
      <text>
        <r>
          <rPr>
            <sz val="11"/>
            <color theme="1"/>
            <rFont val="Calibri"/>
            <family val="2"/>
            <scheme val="minor"/>
          </rPr>
          <t>Seleccionar un valor del listado</t>
        </r>
      </text>
    </comment>
    <comment ref="D3361" authorId="2">
      <text>
        <r>
          <rPr>
            <sz val="11"/>
            <color theme="1"/>
            <rFont val="Calibri"/>
            <family val="2"/>
            <scheme val="minor"/>
          </rPr>
          <t>Seleccione el tipo de procedimiento</t>
        </r>
      </text>
    </comment>
    <comment ref="E3361" authorId="2">
      <text>
        <r>
          <rPr>
            <sz val="11"/>
            <color theme="1"/>
            <rFont val="Calibri"/>
            <family val="2"/>
            <scheme val="minor"/>
          </rPr>
          <t>Seleccione un valor de la lista</t>
        </r>
      </text>
    </comment>
    <comment ref="F3361" authorId="2">
      <text>
        <r>
          <rPr>
            <sz val="11"/>
            <color theme="1"/>
            <rFont val="Calibri"/>
            <family val="2"/>
            <scheme val="minor"/>
          </rPr>
          <t>Introduzca el código SNIP</t>
        </r>
      </text>
    </comment>
    <comment ref="C3362" authorId="2">
      <text>
        <r>
          <rPr>
            <sz val="11"/>
            <color theme="1"/>
            <rFont val="Calibri"/>
            <family val="2"/>
            <scheme val="minor"/>
          </rPr>
          <t>Introduzca la fecha de inicio del proceso, en formato dd-mm-aaaa</t>
        </r>
      </text>
    </comment>
    <comment ref="F33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3" authorId="2">
      <text/>
    </comment>
    <comment ref="C3364" authorId="2">
      <text>
        <r>
          <rPr>
            <sz val="11"/>
            <color theme="1"/>
            <rFont val="Calibri"/>
            <family val="2"/>
            <scheme val="minor"/>
          </rPr>
          <t>Introduzca la fecha prevista de adjudicación, en formato dd-mm-aaaa</t>
        </r>
      </text>
    </comment>
    <comment ref="F3364" authorId="2">
      <text/>
    </comment>
    <comment ref="F3365" authorId="2">
      <text/>
    </comment>
    <comment ref="A3367" authorId="2">
      <text>
        <r>
          <rPr>
            <sz val="11"/>
            <color theme="1"/>
            <rFont val="Calibri"/>
            <family val="2"/>
            <scheme val="minor"/>
          </rPr>
          <t>Introduzca un codigo UNSPSC</t>
        </r>
      </text>
    </comment>
    <comment ref="B3367" authorId="2">
      <text>
        <r>
          <rPr>
            <sz val="11"/>
            <color theme="1"/>
            <rFont val="Calibri"/>
            <family val="2"/>
            <scheme val="minor"/>
          </rPr>
          <t>Descripción calculada automáticamente a partir de código del artículo</t>
        </r>
      </text>
    </comment>
    <comment ref="C3367" authorId="2">
      <text>
        <r>
          <rPr>
            <sz val="11"/>
            <color theme="1"/>
            <rFont val="Calibri"/>
            <family val="2"/>
            <scheme val="minor"/>
          </rPr>
          <t>Seleccione un valor de la lista</t>
        </r>
      </text>
    </comment>
    <comment ref="D3367" authorId="2">
      <text>
        <r>
          <rPr>
            <sz val="11"/>
            <color theme="1"/>
            <rFont val="Calibri"/>
            <family val="2"/>
            <scheme val="minor"/>
          </rPr>
          <t>Introduzca un número con dos decimales como máximo. Debe ser igual o mayor a la "Cantidad Real Consumida"</t>
        </r>
      </text>
    </comment>
    <comment ref="E3367" authorId="2">
      <text>
        <r>
          <rPr>
            <sz val="11"/>
            <color theme="1"/>
            <rFont val="Calibri"/>
            <family val="2"/>
            <scheme val="minor"/>
          </rPr>
          <t>Introduzca un número con dos decimales como máximo</t>
        </r>
      </text>
    </comment>
    <comment ref="F3367" authorId="2">
      <text>
        <r>
          <rPr>
            <sz val="11"/>
            <color theme="1"/>
            <rFont val="Calibri"/>
            <family val="2"/>
            <scheme val="minor"/>
          </rPr>
          <t>Monto calculado automáticamente por el sistema</t>
        </r>
      </text>
    </comment>
    <comment ref="A3375" authorId="2">
      <text>
        <r>
          <rPr>
            <sz val="11"/>
            <color theme="1"/>
            <rFont val="Calibri"/>
            <family val="2"/>
            <scheme val="minor"/>
          </rPr>
          <t>Introducir un texto con el nombre o referencia de la contratación</t>
        </r>
      </text>
    </comment>
    <comment ref="B3375" authorId="2">
      <text>
        <r>
          <rPr>
            <sz val="11"/>
            <color theme="1"/>
            <rFont val="Calibri"/>
            <family val="2"/>
            <scheme val="minor"/>
          </rPr>
          <t>Introduzca un texto con la finalidad de la contratación</t>
        </r>
      </text>
    </comment>
    <comment ref="C3375" authorId="2">
      <text>
        <r>
          <rPr>
            <sz val="11"/>
            <color theme="1"/>
            <rFont val="Calibri"/>
            <family val="2"/>
            <scheme val="minor"/>
          </rPr>
          <t>Seleccionar un valor del listado</t>
        </r>
      </text>
    </comment>
    <comment ref="D3375" authorId="2">
      <text>
        <r>
          <rPr>
            <sz val="11"/>
            <color theme="1"/>
            <rFont val="Calibri"/>
            <family val="2"/>
            <scheme val="minor"/>
          </rPr>
          <t>Seleccione el tipo de procedimiento</t>
        </r>
      </text>
    </comment>
    <comment ref="E3375" authorId="2">
      <text>
        <r>
          <rPr>
            <sz val="11"/>
            <color theme="1"/>
            <rFont val="Calibri"/>
            <family val="2"/>
            <scheme val="minor"/>
          </rPr>
          <t>Seleccione un valor de la lista</t>
        </r>
      </text>
    </comment>
    <comment ref="F3375" authorId="2">
      <text>
        <r>
          <rPr>
            <sz val="11"/>
            <color theme="1"/>
            <rFont val="Calibri"/>
            <family val="2"/>
            <scheme val="minor"/>
          </rPr>
          <t>Introduzca el código SNIP</t>
        </r>
      </text>
    </comment>
    <comment ref="C3376" authorId="2">
      <text>
        <r>
          <rPr>
            <sz val="11"/>
            <color theme="1"/>
            <rFont val="Calibri"/>
            <family val="2"/>
            <scheme val="minor"/>
          </rPr>
          <t>Introduzca la fecha de inicio del proceso, en formato dd-mm-aaaa</t>
        </r>
      </text>
    </comment>
    <comment ref="F33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7" authorId="2">
      <text/>
    </comment>
    <comment ref="C3378" authorId="2">
      <text>
        <r>
          <rPr>
            <sz val="11"/>
            <color theme="1"/>
            <rFont val="Calibri"/>
            <family val="2"/>
            <scheme val="minor"/>
          </rPr>
          <t>Introduzca la fecha prevista de adjudicación, en formato dd-mm-aaaa</t>
        </r>
      </text>
    </comment>
    <comment ref="F3378" authorId="2">
      <text/>
    </comment>
    <comment ref="F3379" authorId="2">
      <text/>
    </comment>
    <comment ref="A3381" authorId="2">
      <text>
        <r>
          <rPr>
            <sz val="11"/>
            <color theme="1"/>
            <rFont val="Calibri"/>
            <family val="2"/>
            <scheme val="minor"/>
          </rPr>
          <t>Introduzca un codigo UNSPSC</t>
        </r>
      </text>
    </comment>
    <comment ref="B3381" authorId="2">
      <text>
        <r>
          <rPr>
            <sz val="11"/>
            <color theme="1"/>
            <rFont val="Calibri"/>
            <family val="2"/>
            <scheme val="minor"/>
          </rPr>
          <t>Descripción calculada automáticamente a partir de código del artículo</t>
        </r>
      </text>
    </comment>
    <comment ref="C3381" authorId="2">
      <text>
        <r>
          <rPr>
            <sz val="11"/>
            <color theme="1"/>
            <rFont val="Calibri"/>
            <family val="2"/>
            <scheme val="minor"/>
          </rPr>
          <t>Seleccione un valor de la lista</t>
        </r>
      </text>
    </comment>
    <comment ref="D3381" authorId="2">
      <text>
        <r>
          <rPr>
            <sz val="11"/>
            <color theme="1"/>
            <rFont val="Calibri"/>
            <family val="2"/>
            <scheme val="minor"/>
          </rPr>
          <t>Introduzca un número con dos decimales como máximo. Debe ser igual o mayor a la "Cantidad Real Consumida"</t>
        </r>
      </text>
    </comment>
    <comment ref="E3381" authorId="2">
      <text>
        <r>
          <rPr>
            <sz val="11"/>
            <color theme="1"/>
            <rFont val="Calibri"/>
            <family val="2"/>
            <scheme val="minor"/>
          </rPr>
          <t>Introduzca un número con dos decimales como máximo</t>
        </r>
      </text>
    </comment>
    <comment ref="F3381" authorId="2">
      <text>
        <r>
          <rPr>
            <sz val="11"/>
            <color theme="1"/>
            <rFont val="Calibri"/>
            <family val="2"/>
            <scheme val="minor"/>
          </rPr>
          <t>Monto calculado automáticamente por el sistema</t>
        </r>
      </text>
    </comment>
    <comment ref="A3399" authorId="2">
      <text>
        <r>
          <rPr>
            <sz val="11"/>
            <color theme="1"/>
            <rFont val="Calibri"/>
            <family val="2"/>
            <scheme val="minor"/>
          </rPr>
          <t>Introducir un texto con el nombre o referencia de la contratación</t>
        </r>
      </text>
    </comment>
    <comment ref="B3399" authorId="2">
      <text>
        <r>
          <rPr>
            <sz val="11"/>
            <color theme="1"/>
            <rFont val="Calibri"/>
            <family val="2"/>
            <scheme val="minor"/>
          </rPr>
          <t>Introduzca un texto con la finalidad de la contratación</t>
        </r>
      </text>
    </comment>
    <comment ref="C3399" authorId="2">
      <text>
        <r>
          <rPr>
            <sz val="11"/>
            <color theme="1"/>
            <rFont val="Calibri"/>
            <family val="2"/>
            <scheme val="minor"/>
          </rPr>
          <t>Seleccionar un valor del listado</t>
        </r>
      </text>
    </comment>
    <comment ref="D3399" authorId="2">
      <text>
        <r>
          <rPr>
            <sz val="11"/>
            <color theme="1"/>
            <rFont val="Calibri"/>
            <family val="2"/>
            <scheme val="minor"/>
          </rPr>
          <t>Seleccione el tipo de procedimiento</t>
        </r>
      </text>
    </comment>
    <comment ref="E3399" authorId="2">
      <text>
        <r>
          <rPr>
            <sz val="11"/>
            <color theme="1"/>
            <rFont val="Calibri"/>
            <family val="2"/>
            <scheme val="minor"/>
          </rPr>
          <t>Seleccione un valor de la lista</t>
        </r>
      </text>
    </comment>
    <comment ref="F3399" authorId="2">
      <text>
        <r>
          <rPr>
            <sz val="11"/>
            <color theme="1"/>
            <rFont val="Calibri"/>
            <family val="2"/>
            <scheme val="minor"/>
          </rPr>
          <t>Introduzca el código SNIP</t>
        </r>
      </text>
    </comment>
    <comment ref="C3400" authorId="2">
      <text>
        <r>
          <rPr>
            <sz val="11"/>
            <color theme="1"/>
            <rFont val="Calibri"/>
            <family val="2"/>
            <scheme val="minor"/>
          </rPr>
          <t>Introduzca la fecha de inicio del proceso, en formato dd-mm-aaaa</t>
        </r>
      </text>
    </comment>
    <comment ref="F34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1" authorId="2">
      <text/>
    </comment>
    <comment ref="C3402" authorId="2">
      <text>
        <r>
          <rPr>
            <sz val="11"/>
            <color theme="1"/>
            <rFont val="Calibri"/>
            <family val="2"/>
            <scheme val="minor"/>
          </rPr>
          <t>Introduzca la fecha prevista de adjudicación, en formato dd-mm-aaaa</t>
        </r>
      </text>
    </comment>
    <comment ref="F3402" authorId="2">
      <text/>
    </comment>
    <comment ref="F3403" authorId="2">
      <text/>
    </comment>
    <comment ref="A3405" authorId="2">
      <text>
        <r>
          <rPr>
            <sz val="11"/>
            <color theme="1"/>
            <rFont val="Calibri"/>
            <family val="2"/>
            <scheme val="minor"/>
          </rPr>
          <t>Introduzca un codigo UNSPSC</t>
        </r>
      </text>
    </comment>
    <comment ref="B3405" authorId="2">
      <text>
        <r>
          <rPr>
            <sz val="11"/>
            <color theme="1"/>
            <rFont val="Calibri"/>
            <family val="2"/>
            <scheme val="minor"/>
          </rPr>
          <t>Descripción calculada automáticamente a partir de código del artículo</t>
        </r>
      </text>
    </comment>
    <comment ref="C3405" authorId="2">
      <text>
        <r>
          <rPr>
            <sz val="11"/>
            <color theme="1"/>
            <rFont val="Calibri"/>
            <family val="2"/>
            <scheme val="minor"/>
          </rPr>
          <t>Seleccione un valor de la lista</t>
        </r>
      </text>
    </comment>
    <comment ref="D3405" authorId="2">
      <text>
        <r>
          <rPr>
            <sz val="11"/>
            <color theme="1"/>
            <rFont val="Calibri"/>
            <family val="2"/>
            <scheme val="minor"/>
          </rPr>
          <t>Introduzca un número con dos decimales como máximo. Debe ser igual o mayor a la "Cantidad Real Consumida"</t>
        </r>
      </text>
    </comment>
    <comment ref="E3405" authorId="2">
      <text>
        <r>
          <rPr>
            <sz val="11"/>
            <color theme="1"/>
            <rFont val="Calibri"/>
            <family val="2"/>
            <scheme val="minor"/>
          </rPr>
          <t>Introduzca un número con dos decimales como máximo</t>
        </r>
      </text>
    </comment>
    <comment ref="F3405" authorId="2">
      <text>
        <r>
          <rPr>
            <sz val="11"/>
            <color theme="1"/>
            <rFont val="Calibri"/>
            <family val="2"/>
            <scheme val="minor"/>
          </rPr>
          <t>Monto calculado automáticamente por el sistema</t>
        </r>
      </text>
    </comment>
    <comment ref="A3411" authorId="2">
      <text>
        <r>
          <rPr>
            <sz val="11"/>
            <color theme="1"/>
            <rFont val="Calibri"/>
            <family val="2"/>
            <scheme val="minor"/>
          </rPr>
          <t>Introducir un texto con el nombre o referencia de la contratación</t>
        </r>
      </text>
    </comment>
    <comment ref="B3411" authorId="2">
      <text>
        <r>
          <rPr>
            <sz val="11"/>
            <color theme="1"/>
            <rFont val="Calibri"/>
            <family val="2"/>
            <scheme val="minor"/>
          </rPr>
          <t>Introduzca un texto con la finalidad de la contratación</t>
        </r>
      </text>
    </comment>
    <comment ref="C3411" authorId="2">
      <text>
        <r>
          <rPr>
            <sz val="11"/>
            <color theme="1"/>
            <rFont val="Calibri"/>
            <family val="2"/>
            <scheme val="minor"/>
          </rPr>
          <t>Seleccionar un valor del listado</t>
        </r>
      </text>
    </comment>
    <comment ref="D3411" authorId="2">
      <text>
        <r>
          <rPr>
            <sz val="11"/>
            <color theme="1"/>
            <rFont val="Calibri"/>
            <family val="2"/>
            <scheme val="minor"/>
          </rPr>
          <t>Seleccione el tipo de procedimiento</t>
        </r>
      </text>
    </comment>
    <comment ref="E3411" authorId="2">
      <text>
        <r>
          <rPr>
            <sz val="11"/>
            <color theme="1"/>
            <rFont val="Calibri"/>
            <family val="2"/>
            <scheme val="minor"/>
          </rPr>
          <t>Seleccione un valor de la lista</t>
        </r>
      </text>
    </comment>
    <comment ref="F3411" authorId="2">
      <text>
        <r>
          <rPr>
            <sz val="11"/>
            <color theme="1"/>
            <rFont val="Calibri"/>
            <family val="2"/>
            <scheme val="minor"/>
          </rPr>
          <t>Introduzca el código SNIP</t>
        </r>
      </text>
    </comment>
    <comment ref="C3412" authorId="2">
      <text>
        <r>
          <rPr>
            <sz val="11"/>
            <color theme="1"/>
            <rFont val="Calibri"/>
            <family val="2"/>
            <scheme val="minor"/>
          </rPr>
          <t>Introduzca la fecha de inicio del proceso, en formato dd-mm-aaaa</t>
        </r>
      </text>
    </comment>
    <comment ref="F34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3" authorId="2">
      <text/>
    </comment>
    <comment ref="C3414" authorId="2">
      <text>
        <r>
          <rPr>
            <sz val="11"/>
            <color theme="1"/>
            <rFont val="Calibri"/>
            <family val="2"/>
            <scheme val="minor"/>
          </rPr>
          <t>Introduzca la fecha prevista de adjudicación, en formato dd-mm-aaaa</t>
        </r>
      </text>
    </comment>
    <comment ref="F3414" authorId="2">
      <text/>
    </comment>
    <comment ref="F3415" authorId="2">
      <text/>
    </comment>
    <comment ref="A3417" authorId="2">
      <text>
        <r>
          <rPr>
            <sz val="11"/>
            <color theme="1"/>
            <rFont val="Calibri"/>
            <family val="2"/>
            <scheme val="minor"/>
          </rPr>
          <t>Introduzca un codigo UNSPSC</t>
        </r>
      </text>
    </comment>
    <comment ref="B3417" authorId="2">
      <text>
        <r>
          <rPr>
            <sz val="11"/>
            <color theme="1"/>
            <rFont val="Calibri"/>
            <family val="2"/>
            <scheme val="minor"/>
          </rPr>
          <t>Descripción calculada automáticamente a partir de código del artículo</t>
        </r>
      </text>
    </comment>
    <comment ref="C3417" authorId="2">
      <text>
        <r>
          <rPr>
            <sz val="11"/>
            <color theme="1"/>
            <rFont val="Calibri"/>
            <family val="2"/>
            <scheme val="minor"/>
          </rPr>
          <t>Seleccione un valor de la lista</t>
        </r>
      </text>
    </comment>
    <comment ref="D3417" authorId="2">
      <text>
        <r>
          <rPr>
            <sz val="11"/>
            <color theme="1"/>
            <rFont val="Calibri"/>
            <family val="2"/>
            <scheme val="minor"/>
          </rPr>
          <t>Introduzca un número con dos decimales como máximo. Debe ser igual o mayor a la "Cantidad Real Consumida"</t>
        </r>
      </text>
    </comment>
    <comment ref="E3417" authorId="2">
      <text>
        <r>
          <rPr>
            <sz val="11"/>
            <color theme="1"/>
            <rFont val="Calibri"/>
            <family val="2"/>
            <scheme val="minor"/>
          </rPr>
          <t>Introduzca un número con dos decimales como máximo</t>
        </r>
      </text>
    </comment>
    <comment ref="F3417" authorId="2">
      <text>
        <r>
          <rPr>
            <sz val="11"/>
            <color theme="1"/>
            <rFont val="Calibri"/>
            <family val="2"/>
            <scheme val="minor"/>
          </rPr>
          <t>Monto calculado automáticamente por el sistema</t>
        </r>
      </text>
    </comment>
    <comment ref="A3435" authorId="2">
      <text>
        <r>
          <rPr>
            <sz val="11"/>
            <color theme="1"/>
            <rFont val="Calibri"/>
            <family val="2"/>
            <scheme val="minor"/>
          </rPr>
          <t>Introducir un texto con el nombre o referencia de la contratación</t>
        </r>
      </text>
    </comment>
    <comment ref="B3435" authorId="2">
      <text>
        <r>
          <rPr>
            <sz val="11"/>
            <color theme="1"/>
            <rFont val="Calibri"/>
            <family val="2"/>
            <scheme val="minor"/>
          </rPr>
          <t>Introduzca un texto con la finalidad de la contratación</t>
        </r>
      </text>
    </comment>
    <comment ref="C3435" authorId="2">
      <text>
        <r>
          <rPr>
            <sz val="11"/>
            <color theme="1"/>
            <rFont val="Calibri"/>
            <family val="2"/>
            <scheme val="minor"/>
          </rPr>
          <t>Seleccionar un valor del listado</t>
        </r>
      </text>
    </comment>
    <comment ref="D3435" authorId="2">
      <text>
        <r>
          <rPr>
            <sz val="11"/>
            <color theme="1"/>
            <rFont val="Calibri"/>
            <family val="2"/>
            <scheme val="minor"/>
          </rPr>
          <t>Seleccione el tipo de procedimiento</t>
        </r>
      </text>
    </comment>
    <comment ref="E3435" authorId="2">
      <text>
        <r>
          <rPr>
            <sz val="11"/>
            <color theme="1"/>
            <rFont val="Calibri"/>
            <family val="2"/>
            <scheme val="minor"/>
          </rPr>
          <t>Seleccione un valor de la lista</t>
        </r>
      </text>
    </comment>
    <comment ref="F3435" authorId="2">
      <text>
        <r>
          <rPr>
            <sz val="11"/>
            <color theme="1"/>
            <rFont val="Calibri"/>
            <family val="2"/>
            <scheme val="minor"/>
          </rPr>
          <t>Introduzca el código SNIP</t>
        </r>
      </text>
    </comment>
    <comment ref="C3436" authorId="2">
      <text>
        <r>
          <rPr>
            <sz val="11"/>
            <color theme="1"/>
            <rFont val="Calibri"/>
            <family val="2"/>
            <scheme val="minor"/>
          </rPr>
          <t>Introduzca la fecha de inicio del proceso, en formato dd-mm-aaaa</t>
        </r>
      </text>
    </comment>
    <comment ref="F34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7" authorId="2">
      <text/>
    </comment>
    <comment ref="C3438" authorId="2">
      <text>
        <r>
          <rPr>
            <sz val="11"/>
            <color theme="1"/>
            <rFont val="Calibri"/>
            <family val="2"/>
            <scheme val="minor"/>
          </rPr>
          <t>Introduzca la fecha prevista de adjudicación, en formato dd-mm-aaaa</t>
        </r>
      </text>
    </comment>
    <comment ref="F3438" authorId="2">
      <text/>
    </comment>
    <comment ref="F3439" authorId="2">
      <text/>
    </comment>
    <comment ref="A3441" authorId="2">
      <text>
        <r>
          <rPr>
            <sz val="11"/>
            <color theme="1"/>
            <rFont val="Calibri"/>
            <family val="2"/>
            <scheme val="minor"/>
          </rPr>
          <t>Introduzca un codigo UNSPSC</t>
        </r>
      </text>
    </comment>
    <comment ref="B3441" authorId="2">
      <text>
        <r>
          <rPr>
            <sz val="11"/>
            <color theme="1"/>
            <rFont val="Calibri"/>
            <family val="2"/>
            <scheme val="minor"/>
          </rPr>
          <t>Descripción calculada automáticamente a partir de código del artículo</t>
        </r>
      </text>
    </comment>
    <comment ref="C3441" authorId="2">
      <text>
        <r>
          <rPr>
            <sz val="11"/>
            <color theme="1"/>
            <rFont val="Calibri"/>
            <family val="2"/>
            <scheme val="minor"/>
          </rPr>
          <t>Seleccione un valor de la lista</t>
        </r>
      </text>
    </comment>
    <comment ref="D3441" authorId="2">
      <text>
        <r>
          <rPr>
            <sz val="11"/>
            <color theme="1"/>
            <rFont val="Calibri"/>
            <family val="2"/>
            <scheme val="minor"/>
          </rPr>
          <t>Introduzca un número con dos decimales como máximo. Debe ser igual o mayor a la "Cantidad Real Consumida"</t>
        </r>
      </text>
    </comment>
    <comment ref="E3441" authorId="2">
      <text>
        <r>
          <rPr>
            <sz val="11"/>
            <color theme="1"/>
            <rFont val="Calibri"/>
            <family val="2"/>
            <scheme val="minor"/>
          </rPr>
          <t>Introduzca un número con dos decimales como máximo</t>
        </r>
      </text>
    </comment>
    <comment ref="F3441" authorId="2">
      <text>
        <r>
          <rPr>
            <sz val="11"/>
            <color theme="1"/>
            <rFont val="Calibri"/>
            <family val="2"/>
            <scheme val="minor"/>
          </rPr>
          <t>Monto calculado automáticamente por el sistema</t>
        </r>
      </text>
    </comment>
    <comment ref="A3453" authorId="2">
      <text>
        <r>
          <rPr>
            <sz val="11"/>
            <color theme="1"/>
            <rFont val="Calibri"/>
            <family val="2"/>
            <scheme val="minor"/>
          </rPr>
          <t>Introducir un texto con el nombre o referencia de la contratación</t>
        </r>
      </text>
    </comment>
    <comment ref="B3453" authorId="2">
      <text>
        <r>
          <rPr>
            <sz val="11"/>
            <color theme="1"/>
            <rFont val="Calibri"/>
            <family val="2"/>
            <scheme val="minor"/>
          </rPr>
          <t>Introduzca un texto con la finalidad de la contratación</t>
        </r>
      </text>
    </comment>
    <comment ref="C3453" authorId="2">
      <text>
        <r>
          <rPr>
            <sz val="11"/>
            <color theme="1"/>
            <rFont val="Calibri"/>
            <family val="2"/>
            <scheme val="minor"/>
          </rPr>
          <t>Seleccionar un valor del listado</t>
        </r>
      </text>
    </comment>
    <comment ref="D3453" authorId="2">
      <text>
        <r>
          <rPr>
            <sz val="11"/>
            <color theme="1"/>
            <rFont val="Calibri"/>
            <family val="2"/>
            <scheme val="minor"/>
          </rPr>
          <t>Seleccione el tipo de procedimiento</t>
        </r>
      </text>
    </comment>
    <comment ref="E3453" authorId="2">
      <text>
        <r>
          <rPr>
            <sz val="11"/>
            <color theme="1"/>
            <rFont val="Calibri"/>
            <family val="2"/>
            <scheme val="minor"/>
          </rPr>
          <t>Seleccione un valor de la lista</t>
        </r>
      </text>
    </comment>
    <comment ref="F3453" authorId="2">
      <text>
        <r>
          <rPr>
            <sz val="11"/>
            <color theme="1"/>
            <rFont val="Calibri"/>
            <family val="2"/>
            <scheme val="minor"/>
          </rPr>
          <t>Introduzca el código SNIP</t>
        </r>
      </text>
    </comment>
    <comment ref="C3454" authorId="2">
      <text>
        <r>
          <rPr>
            <sz val="11"/>
            <color theme="1"/>
            <rFont val="Calibri"/>
            <family val="2"/>
            <scheme val="minor"/>
          </rPr>
          <t>Introduzca la fecha de inicio del proceso, en formato dd-mm-aaaa</t>
        </r>
      </text>
    </comment>
    <comment ref="F34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5" authorId="2">
      <text/>
    </comment>
    <comment ref="C3456" authorId="2">
      <text>
        <r>
          <rPr>
            <sz val="11"/>
            <color theme="1"/>
            <rFont val="Calibri"/>
            <family val="2"/>
            <scheme val="minor"/>
          </rPr>
          <t>Introduzca la fecha prevista de adjudicación, en formato dd-mm-aaaa</t>
        </r>
      </text>
    </comment>
    <comment ref="F3456" authorId="2">
      <text/>
    </comment>
    <comment ref="F3457" authorId="2">
      <text/>
    </comment>
    <comment ref="A3459" authorId="2">
      <text>
        <r>
          <rPr>
            <sz val="11"/>
            <color theme="1"/>
            <rFont val="Calibri"/>
            <family val="2"/>
            <scheme val="minor"/>
          </rPr>
          <t>Introduzca un codigo UNSPSC</t>
        </r>
      </text>
    </comment>
    <comment ref="B3459" authorId="2">
      <text>
        <r>
          <rPr>
            <sz val="11"/>
            <color theme="1"/>
            <rFont val="Calibri"/>
            <family val="2"/>
            <scheme val="minor"/>
          </rPr>
          <t>Descripción calculada automáticamente a partir de código del artículo</t>
        </r>
      </text>
    </comment>
    <comment ref="C3459" authorId="2">
      <text>
        <r>
          <rPr>
            <sz val="11"/>
            <color theme="1"/>
            <rFont val="Calibri"/>
            <family val="2"/>
            <scheme val="minor"/>
          </rPr>
          <t>Seleccione un valor de la lista</t>
        </r>
      </text>
    </comment>
    <comment ref="D3459" authorId="2">
      <text>
        <r>
          <rPr>
            <sz val="11"/>
            <color theme="1"/>
            <rFont val="Calibri"/>
            <family val="2"/>
            <scheme val="minor"/>
          </rPr>
          <t>Introduzca un número con dos decimales como máximo. Debe ser igual o mayor a la "Cantidad Real Consumida"</t>
        </r>
      </text>
    </comment>
    <comment ref="E3459" authorId="2">
      <text>
        <r>
          <rPr>
            <sz val="11"/>
            <color theme="1"/>
            <rFont val="Calibri"/>
            <family val="2"/>
            <scheme val="minor"/>
          </rPr>
          <t>Introduzca un número con dos decimales como máximo</t>
        </r>
      </text>
    </comment>
    <comment ref="F3459" authorId="2">
      <text>
        <r>
          <rPr>
            <sz val="11"/>
            <color theme="1"/>
            <rFont val="Calibri"/>
            <family val="2"/>
            <scheme val="minor"/>
          </rPr>
          <t>Monto calculado automáticamente por el sistema</t>
        </r>
      </text>
    </comment>
    <comment ref="A3477" authorId="2">
      <text>
        <r>
          <rPr>
            <sz val="11"/>
            <color theme="1"/>
            <rFont val="Calibri"/>
            <family val="2"/>
            <scheme val="minor"/>
          </rPr>
          <t>Introducir un texto con el nombre o referencia de la contratación</t>
        </r>
      </text>
    </comment>
    <comment ref="B3477" authorId="2">
      <text>
        <r>
          <rPr>
            <sz val="11"/>
            <color theme="1"/>
            <rFont val="Calibri"/>
            <family val="2"/>
            <scheme val="minor"/>
          </rPr>
          <t>Introduzca un texto con la finalidad de la contratación</t>
        </r>
      </text>
    </comment>
    <comment ref="C3477" authorId="2">
      <text>
        <r>
          <rPr>
            <sz val="11"/>
            <color theme="1"/>
            <rFont val="Calibri"/>
            <family val="2"/>
            <scheme val="minor"/>
          </rPr>
          <t>Seleccionar un valor del listado</t>
        </r>
      </text>
    </comment>
    <comment ref="D3477" authorId="2">
      <text>
        <r>
          <rPr>
            <sz val="11"/>
            <color theme="1"/>
            <rFont val="Calibri"/>
            <family val="2"/>
            <scheme val="minor"/>
          </rPr>
          <t>Seleccione el tipo de procedimiento</t>
        </r>
      </text>
    </comment>
    <comment ref="E3477" authorId="2">
      <text>
        <r>
          <rPr>
            <sz val="11"/>
            <color theme="1"/>
            <rFont val="Calibri"/>
            <family val="2"/>
            <scheme val="minor"/>
          </rPr>
          <t>Seleccione un valor de la lista</t>
        </r>
      </text>
    </comment>
    <comment ref="F3477" authorId="2">
      <text>
        <r>
          <rPr>
            <sz val="11"/>
            <color theme="1"/>
            <rFont val="Calibri"/>
            <family val="2"/>
            <scheme val="minor"/>
          </rPr>
          <t>Introduzca el código SNIP</t>
        </r>
      </text>
    </comment>
    <comment ref="C3478" authorId="2">
      <text>
        <r>
          <rPr>
            <sz val="11"/>
            <color theme="1"/>
            <rFont val="Calibri"/>
            <family val="2"/>
            <scheme val="minor"/>
          </rPr>
          <t>Introduzca la fecha de inicio del proceso, en formato dd-mm-aaaa</t>
        </r>
      </text>
    </comment>
    <comment ref="F34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9" authorId="2">
      <text/>
    </comment>
    <comment ref="C3480" authorId="2">
      <text>
        <r>
          <rPr>
            <sz val="11"/>
            <color theme="1"/>
            <rFont val="Calibri"/>
            <family val="2"/>
            <scheme val="minor"/>
          </rPr>
          <t>Introduzca la fecha prevista de adjudicación, en formato dd-mm-aaaa</t>
        </r>
      </text>
    </comment>
    <comment ref="F3480" authorId="2">
      <text/>
    </comment>
    <comment ref="F3481" authorId="2">
      <text/>
    </comment>
    <comment ref="A3483" authorId="2">
      <text>
        <r>
          <rPr>
            <sz val="11"/>
            <color theme="1"/>
            <rFont val="Calibri"/>
            <family val="2"/>
            <scheme val="minor"/>
          </rPr>
          <t>Introduzca un codigo UNSPSC</t>
        </r>
      </text>
    </comment>
    <comment ref="B3483" authorId="2">
      <text>
        <r>
          <rPr>
            <sz val="11"/>
            <color theme="1"/>
            <rFont val="Calibri"/>
            <family val="2"/>
            <scheme val="minor"/>
          </rPr>
          <t>Descripción calculada automáticamente a partir de código del artículo</t>
        </r>
      </text>
    </comment>
    <comment ref="C3483" authorId="2">
      <text>
        <r>
          <rPr>
            <sz val="11"/>
            <color theme="1"/>
            <rFont val="Calibri"/>
            <family val="2"/>
            <scheme val="minor"/>
          </rPr>
          <t>Seleccione un valor de la lista</t>
        </r>
      </text>
    </comment>
    <comment ref="D3483" authorId="2">
      <text>
        <r>
          <rPr>
            <sz val="11"/>
            <color theme="1"/>
            <rFont val="Calibri"/>
            <family val="2"/>
            <scheme val="minor"/>
          </rPr>
          <t>Introduzca un número con dos decimales como máximo. Debe ser igual o mayor a la "Cantidad Real Consumida"</t>
        </r>
      </text>
    </comment>
    <comment ref="E3483" authorId="2">
      <text>
        <r>
          <rPr>
            <sz val="11"/>
            <color theme="1"/>
            <rFont val="Calibri"/>
            <family val="2"/>
            <scheme val="minor"/>
          </rPr>
          <t>Introduzca un número con dos decimales como máximo</t>
        </r>
      </text>
    </comment>
    <comment ref="F3483" authorId="2">
      <text>
        <r>
          <rPr>
            <sz val="11"/>
            <color theme="1"/>
            <rFont val="Calibri"/>
            <family val="2"/>
            <scheme val="minor"/>
          </rPr>
          <t>Monto calculado automáticamente por el sistema</t>
        </r>
      </text>
    </comment>
    <comment ref="A3498" authorId="2">
      <text>
        <r>
          <rPr>
            <sz val="11"/>
            <color theme="1"/>
            <rFont val="Calibri"/>
            <family val="2"/>
            <scheme val="minor"/>
          </rPr>
          <t>Introducir un texto con el nombre o referencia de la contratación</t>
        </r>
      </text>
    </comment>
    <comment ref="B3498" authorId="2">
      <text>
        <r>
          <rPr>
            <sz val="11"/>
            <color theme="1"/>
            <rFont val="Calibri"/>
            <family val="2"/>
            <scheme val="minor"/>
          </rPr>
          <t>Introduzca un texto con la finalidad de la contratación</t>
        </r>
      </text>
    </comment>
    <comment ref="C3498" authorId="2">
      <text>
        <r>
          <rPr>
            <sz val="11"/>
            <color theme="1"/>
            <rFont val="Calibri"/>
            <family val="2"/>
            <scheme val="minor"/>
          </rPr>
          <t>Seleccionar un valor del listado</t>
        </r>
      </text>
    </comment>
    <comment ref="D3498" authorId="2">
      <text>
        <r>
          <rPr>
            <sz val="11"/>
            <color theme="1"/>
            <rFont val="Calibri"/>
            <family val="2"/>
            <scheme val="minor"/>
          </rPr>
          <t>Seleccione el tipo de procedimiento</t>
        </r>
      </text>
    </comment>
    <comment ref="E3498" authorId="2">
      <text>
        <r>
          <rPr>
            <sz val="11"/>
            <color theme="1"/>
            <rFont val="Calibri"/>
            <family val="2"/>
            <scheme val="minor"/>
          </rPr>
          <t>Seleccione un valor de la lista</t>
        </r>
      </text>
    </comment>
    <comment ref="F3498" authorId="2">
      <text>
        <r>
          <rPr>
            <sz val="11"/>
            <color theme="1"/>
            <rFont val="Calibri"/>
            <family val="2"/>
            <scheme val="minor"/>
          </rPr>
          <t>Introduzca el código SNIP</t>
        </r>
      </text>
    </comment>
    <comment ref="C3499" authorId="2">
      <text>
        <r>
          <rPr>
            <sz val="11"/>
            <color theme="1"/>
            <rFont val="Calibri"/>
            <family val="2"/>
            <scheme val="minor"/>
          </rPr>
          <t>Introduzca la fecha de inicio del proceso, en formato dd-mm-aaaa</t>
        </r>
      </text>
    </comment>
    <comment ref="F34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0" authorId="2">
      <text/>
    </comment>
    <comment ref="C3501" authorId="2">
      <text>
        <r>
          <rPr>
            <sz val="11"/>
            <color theme="1"/>
            <rFont val="Calibri"/>
            <family val="2"/>
            <scheme val="minor"/>
          </rPr>
          <t>Introduzca la fecha prevista de adjudicación, en formato dd-mm-aaaa</t>
        </r>
      </text>
    </comment>
    <comment ref="F3501" authorId="2">
      <text/>
    </comment>
    <comment ref="F3502" authorId="2">
      <text/>
    </comment>
    <comment ref="A3504" authorId="2">
      <text>
        <r>
          <rPr>
            <sz val="11"/>
            <color theme="1"/>
            <rFont val="Calibri"/>
            <family val="2"/>
            <scheme val="minor"/>
          </rPr>
          <t>Introduzca un codigo UNSPSC</t>
        </r>
      </text>
    </comment>
    <comment ref="B3504" authorId="2">
      <text>
        <r>
          <rPr>
            <sz val="11"/>
            <color theme="1"/>
            <rFont val="Calibri"/>
            <family val="2"/>
            <scheme val="minor"/>
          </rPr>
          <t>Descripción calculada automáticamente a partir de código del artículo</t>
        </r>
      </text>
    </comment>
    <comment ref="C3504" authorId="2">
      <text>
        <r>
          <rPr>
            <sz val="11"/>
            <color theme="1"/>
            <rFont val="Calibri"/>
            <family val="2"/>
            <scheme val="minor"/>
          </rPr>
          <t>Seleccione un valor de la lista</t>
        </r>
      </text>
    </comment>
    <comment ref="D3504" authorId="2">
      <text>
        <r>
          <rPr>
            <sz val="11"/>
            <color theme="1"/>
            <rFont val="Calibri"/>
            <family val="2"/>
            <scheme val="minor"/>
          </rPr>
          <t>Introduzca un número con dos decimales como máximo. Debe ser igual o mayor a la "Cantidad Real Consumida"</t>
        </r>
      </text>
    </comment>
    <comment ref="E3504" authorId="2">
      <text>
        <r>
          <rPr>
            <sz val="11"/>
            <color theme="1"/>
            <rFont val="Calibri"/>
            <family val="2"/>
            <scheme val="minor"/>
          </rPr>
          <t>Introduzca un número con dos decimales como máximo</t>
        </r>
      </text>
    </comment>
    <comment ref="F3504" authorId="2">
      <text>
        <r>
          <rPr>
            <sz val="11"/>
            <color theme="1"/>
            <rFont val="Calibri"/>
            <family val="2"/>
            <scheme val="minor"/>
          </rPr>
          <t>Monto calculado automáticamente por el sistema</t>
        </r>
      </text>
    </comment>
    <comment ref="A3509" authorId="2">
      <text>
        <r>
          <rPr>
            <sz val="11"/>
            <color theme="1"/>
            <rFont val="Calibri"/>
            <family val="2"/>
            <scheme val="minor"/>
          </rPr>
          <t>Introducir un texto con el nombre o referencia de la contratación</t>
        </r>
      </text>
    </comment>
    <comment ref="B3509" authorId="2">
      <text>
        <r>
          <rPr>
            <sz val="11"/>
            <color theme="1"/>
            <rFont val="Calibri"/>
            <family val="2"/>
            <scheme val="minor"/>
          </rPr>
          <t>Introduzca un texto con la finalidad de la contratación</t>
        </r>
      </text>
    </comment>
    <comment ref="C3509" authorId="2">
      <text>
        <r>
          <rPr>
            <sz val="11"/>
            <color theme="1"/>
            <rFont val="Calibri"/>
            <family val="2"/>
            <scheme val="minor"/>
          </rPr>
          <t>Seleccionar un valor del listado</t>
        </r>
      </text>
    </comment>
    <comment ref="D3509" authorId="2">
      <text>
        <r>
          <rPr>
            <sz val="11"/>
            <color theme="1"/>
            <rFont val="Calibri"/>
            <family val="2"/>
            <scheme val="minor"/>
          </rPr>
          <t>Seleccione el tipo de procedimiento</t>
        </r>
      </text>
    </comment>
    <comment ref="E3509" authorId="2">
      <text>
        <r>
          <rPr>
            <sz val="11"/>
            <color theme="1"/>
            <rFont val="Calibri"/>
            <family val="2"/>
            <scheme val="minor"/>
          </rPr>
          <t>Seleccione un valor de la lista</t>
        </r>
      </text>
    </comment>
    <comment ref="F3509" authorId="2">
      <text>
        <r>
          <rPr>
            <sz val="11"/>
            <color theme="1"/>
            <rFont val="Calibri"/>
            <family val="2"/>
            <scheme val="minor"/>
          </rPr>
          <t>Introduzca el código SNIP</t>
        </r>
      </text>
    </comment>
    <comment ref="C3510" authorId="2">
      <text>
        <r>
          <rPr>
            <sz val="11"/>
            <color theme="1"/>
            <rFont val="Calibri"/>
            <family val="2"/>
            <scheme val="minor"/>
          </rPr>
          <t>Introduzca la fecha de inicio del proceso, en formato dd-mm-aaaa</t>
        </r>
      </text>
    </comment>
    <comment ref="F35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1" authorId="2">
      <text/>
    </comment>
    <comment ref="C3512" authorId="2">
      <text>
        <r>
          <rPr>
            <sz val="11"/>
            <color theme="1"/>
            <rFont val="Calibri"/>
            <family val="2"/>
            <scheme val="minor"/>
          </rPr>
          <t>Introduzca la fecha prevista de adjudicación, en formato dd-mm-aaaa</t>
        </r>
      </text>
    </comment>
    <comment ref="F3512" authorId="2">
      <text/>
    </comment>
    <comment ref="F3513" authorId="2">
      <text/>
    </comment>
    <comment ref="A3515" authorId="2">
      <text>
        <r>
          <rPr>
            <sz val="11"/>
            <color theme="1"/>
            <rFont val="Calibri"/>
            <family val="2"/>
            <scheme val="minor"/>
          </rPr>
          <t>Introduzca un codigo UNSPSC</t>
        </r>
      </text>
    </comment>
    <comment ref="B3515" authorId="2">
      <text>
        <r>
          <rPr>
            <sz val="11"/>
            <color theme="1"/>
            <rFont val="Calibri"/>
            <family val="2"/>
            <scheme val="minor"/>
          </rPr>
          <t>Descripción calculada automáticamente a partir de código del artículo</t>
        </r>
      </text>
    </comment>
    <comment ref="C3515" authorId="2">
      <text>
        <r>
          <rPr>
            <sz val="11"/>
            <color theme="1"/>
            <rFont val="Calibri"/>
            <family val="2"/>
            <scheme val="minor"/>
          </rPr>
          <t>Seleccione un valor de la lista</t>
        </r>
      </text>
    </comment>
    <comment ref="D3515" authorId="2">
      <text>
        <r>
          <rPr>
            <sz val="11"/>
            <color theme="1"/>
            <rFont val="Calibri"/>
            <family val="2"/>
            <scheme val="minor"/>
          </rPr>
          <t>Introduzca un número con dos decimales como máximo. Debe ser igual o mayor a la "Cantidad Real Consumida"</t>
        </r>
      </text>
    </comment>
    <comment ref="E3515" authorId="2">
      <text>
        <r>
          <rPr>
            <sz val="11"/>
            <color theme="1"/>
            <rFont val="Calibri"/>
            <family val="2"/>
            <scheme val="minor"/>
          </rPr>
          <t>Introduzca un número con dos decimales como máximo</t>
        </r>
      </text>
    </comment>
    <comment ref="F3515" authorId="2">
      <text>
        <r>
          <rPr>
            <sz val="11"/>
            <color theme="1"/>
            <rFont val="Calibri"/>
            <family val="2"/>
            <scheme val="minor"/>
          </rPr>
          <t>Monto calculado automáticamente por el sistema</t>
        </r>
      </text>
    </comment>
    <comment ref="A3530" authorId="2">
      <text>
        <r>
          <rPr>
            <sz val="11"/>
            <color theme="1"/>
            <rFont val="Calibri"/>
            <family val="2"/>
            <scheme val="minor"/>
          </rPr>
          <t>Introducir un texto con el nombre o referencia de la contratación</t>
        </r>
      </text>
    </comment>
    <comment ref="B3530" authorId="2">
      <text>
        <r>
          <rPr>
            <sz val="11"/>
            <color theme="1"/>
            <rFont val="Calibri"/>
            <family val="2"/>
            <scheme val="minor"/>
          </rPr>
          <t>Introduzca un texto con la finalidad de la contratación</t>
        </r>
      </text>
    </comment>
    <comment ref="C3530" authorId="2">
      <text>
        <r>
          <rPr>
            <sz val="11"/>
            <color theme="1"/>
            <rFont val="Calibri"/>
            <family val="2"/>
            <scheme val="minor"/>
          </rPr>
          <t>Seleccionar un valor del listado</t>
        </r>
      </text>
    </comment>
    <comment ref="D3530" authorId="2">
      <text>
        <r>
          <rPr>
            <sz val="11"/>
            <color theme="1"/>
            <rFont val="Calibri"/>
            <family val="2"/>
            <scheme val="minor"/>
          </rPr>
          <t>Seleccione el tipo de procedimiento</t>
        </r>
      </text>
    </comment>
    <comment ref="E3530" authorId="2">
      <text>
        <r>
          <rPr>
            <sz val="11"/>
            <color theme="1"/>
            <rFont val="Calibri"/>
            <family val="2"/>
            <scheme val="minor"/>
          </rPr>
          <t>Seleccione un valor de la lista</t>
        </r>
      </text>
    </comment>
    <comment ref="F3530" authorId="2">
      <text>
        <r>
          <rPr>
            <sz val="11"/>
            <color theme="1"/>
            <rFont val="Calibri"/>
            <family val="2"/>
            <scheme val="minor"/>
          </rPr>
          <t>Introduzca el código SNIP</t>
        </r>
      </text>
    </comment>
    <comment ref="C3531" authorId="2">
      <text>
        <r>
          <rPr>
            <sz val="11"/>
            <color theme="1"/>
            <rFont val="Calibri"/>
            <family val="2"/>
            <scheme val="minor"/>
          </rPr>
          <t>Introduzca la fecha de inicio del proceso, en formato dd-mm-aaaa</t>
        </r>
      </text>
    </comment>
    <comment ref="F35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2" authorId="2">
      <text/>
    </comment>
    <comment ref="C3533" authorId="2">
      <text>
        <r>
          <rPr>
            <sz val="11"/>
            <color theme="1"/>
            <rFont val="Calibri"/>
            <family val="2"/>
            <scheme val="minor"/>
          </rPr>
          <t>Introduzca la fecha prevista de adjudicación, en formato dd-mm-aaaa</t>
        </r>
      </text>
    </comment>
    <comment ref="F3533" authorId="2">
      <text/>
    </comment>
    <comment ref="F3534" authorId="2">
      <text/>
    </comment>
    <comment ref="A3536" authorId="2">
      <text>
        <r>
          <rPr>
            <sz val="11"/>
            <color theme="1"/>
            <rFont val="Calibri"/>
            <family val="2"/>
            <scheme val="minor"/>
          </rPr>
          <t>Introduzca un codigo UNSPSC</t>
        </r>
      </text>
    </comment>
    <comment ref="B3536" authorId="2">
      <text>
        <r>
          <rPr>
            <sz val="11"/>
            <color theme="1"/>
            <rFont val="Calibri"/>
            <family val="2"/>
            <scheme val="minor"/>
          </rPr>
          <t>Descripción calculada automáticamente a partir de código del artículo</t>
        </r>
      </text>
    </comment>
    <comment ref="C3536" authorId="2">
      <text>
        <r>
          <rPr>
            <sz val="11"/>
            <color theme="1"/>
            <rFont val="Calibri"/>
            <family val="2"/>
            <scheme val="minor"/>
          </rPr>
          <t>Seleccione un valor de la lista</t>
        </r>
      </text>
    </comment>
    <comment ref="D3536" authorId="2">
      <text>
        <r>
          <rPr>
            <sz val="11"/>
            <color theme="1"/>
            <rFont val="Calibri"/>
            <family val="2"/>
            <scheme val="minor"/>
          </rPr>
          <t>Introduzca un número con dos decimales como máximo. Debe ser igual o mayor a la "Cantidad Real Consumida"</t>
        </r>
      </text>
    </comment>
    <comment ref="E3536" authorId="2">
      <text>
        <r>
          <rPr>
            <sz val="11"/>
            <color theme="1"/>
            <rFont val="Calibri"/>
            <family val="2"/>
            <scheme val="minor"/>
          </rPr>
          <t>Introduzca un número con dos decimales como máximo</t>
        </r>
      </text>
    </comment>
    <comment ref="F3536" authorId="2">
      <text>
        <r>
          <rPr>
            <sz val="11"/>
            <color theme="1"/>
            <rFont val="Calibri"/>
            <family val="2"/>
            <scheme val="minor"/>
          </rPr>
          <t>Monto calculado automáticamente por el sistema</t>
        </r>
      </text>
    </comment>
    <comment ref="A3554" authorId="2">
      <text>
        <r>
          <rPr>
            <sz val="11"/>
            <color theme="1"/>
            <rFont val="Calibri"/>
            <family val="2"/>
            <scheme val="minor"/>
          </rPr>
          <t>Introducir un texto con el nombre o referencia de la contratación</t>
        </r>
      </text>
    </comment>
    <comment ref="B3554" authorId="2">
      <text>
        <r>
          <rPr>
            <sz val="11"/>
            <color theme="1"/>
            <rFont val="Calibri"/>
            <family val="2"/>
            <scheme val="minor"/>
          </rPr>
          <t>Introduzca un texto con la finalidad de la contratación</t>
        </r>
      </text>
    </comment>
    <comment ref="C3554" authorId="2">
      <text>
        <r>
          <rPr>
            <sz val="11"/>
            <color theme="1"/>
            <rFont val="Calibri"/>
            <family val="2"/>
            <scheme val="minor"/>
          </rPr>
          <t>Seleccionar un valor del listado</t>
        </r>
      </text>
    </comment>
    <comment ref="D3554" authorId="2">
      <text>
        <r>
          <rPr>
            <sz val="11"/>
            <color theme="1"/>
            <rFont val="Calibri"/>
            <family val="2"/>
            <scheme val="minor"/>
          </rPr>
          <t>Seleccione el tipo de procedimiento</t>
        </r>
      </text>
    </comment>
    <comment ref="E3554" authorId="2">
      <text>
        <r>
          <rPr>
            <sz val="11"/>
            <color theme="1"/>
            <rFont val="Calibri"/>
            <family val="2"/>
            <scheme val="minor"/>
          </rPr>
          <t>Seleccione un valor de la lista</t>
        </r>
      </text>
    </comment>
    <comment ref="F3554" authorId="2">
      <text>
        <r>
          <rPr>
            <sz val="11"/>
            <color theme="1"/>
            <rFont val="Calibri"/>
            <family val="2"/>
            <scheme val="minor"/>
          </rPr>
          <t>Introduzca el código SNIP</t>
        </r>
      </text>
    </comment>
    <comment ref="C3555" authorId="2">
      <text>
        <r>
          <rPr>
            <sz val="11"/>
            <color theme="1"/>
            <rFont val="Calibri"/>
            <family val="2"/>
            <scheme val="minor"/>
          </rPr>
          <t>Introduzca la fecha de inicio del proceso, en formato dd-mm-aaaa</t>
        </r>
      </text>
    </comment>
    <comment ref="F35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6" authorId="2">
      <text/>
    </comment>
    <comment ref="C3557" authorId="2">
      <text>
        <r>
          <rPr>
            <sz val="11"/>
            <color theme="1"/>
            <rFont val="Calibri"/>
            <family val="2"/>
            <scheme val="minor"/>
          </rPr>
          <t>Introduzca la fecha prevista de adjudicación, en formato dd-mm-aaaa</t>
        </r>
      </text>
    </comment>
    <comment ref="F3557" authorId="2">
      <text/>
    </comment>
    <comment ref="F3558" authorId="2">
      <text/>
    </comment>
    <comment ref="A3560" authorId="2">
      <text>
        <r>
          <rPr>
            <sz val="11"/>
            <color theme="1"/>
            <rFont val="Calibri"/>
            <family val="2"/>
            <scheme val="minor"/>
          </rPr>
          <t>Introduzca un codigo UNSPSC</t>
        </r>
      </text>
    </comment>
    <comment ref="B3560" authorId="2">
      <text>
        <r>
          <rPr>
            <sz val="11"/>
            <color theme="1"/>
            <rFont val="Calibri"/>
            <family val="2"/>
            <scheme val="minor"/>
          </rPr>
          <t>Descripción calculada automáticamente a partir de código del artículo</t>
        </r>
      </text>
    </comment>
    <comment ref="C3560" authorId="2">
      <text>
        <r>
          <rPr>
            <sz val="11"/>
            <color theme="1"/>
            <rFont val="Calibri"/>
            <family val="2"/>
            <scheme val="minor"/>
          </rPr>
          <t>Seleccione un valor de la lista</t>
        </r>
      </text>
    </comment>
    <comment ref="D3560" authorId="2">
      <text>
        <r>
          <rPr>
            <sz val="11"/>
            <color theme="1"/>
            <rFont val="Calibri"/>
            <family val="2"/>
            <scheme val="minor"/>
          </rPr>
          <t>Introduzca un número con dos decimales como máximo. Debe ser igual o mayor a la "Cantidad Real Consumida"</t>
        </r>
      </text>
    </comment>
    <comment ref="E3560" authorId="2">
      <text>
        <r>
          <rPr>
            <sz val="11"/>
            <color theme="1"/>
            <rFont val="Calibri"/>
            <family val="2"/>
            <scheme val="minor"/>
          </rPr>
          <t>Introduzca un número con dos decimales como máximo</t>
        </r>
      </text>
    </comment>
    <comment ref="F3560" authorId="2">
      <text>
        <r>
          <rPr>
            <sz val="11"/>
            <color theme="1"/>
            <rFont val="Calibri"/>
            <family val="2"/>
            <scheme val="minor"/>
          </rPr>
          <t>Monto calculado automáticamente por el sistema</t>
        </r>
      </text>
    </comment>
    <comment ref="A3565" authorId="2">
      <text>
        <r>
          <rPr>
            <sz val="11"/>
            <color theme="1"/>
            <rFont val="Calibri"/>
            <family val="2"/>
            <scheme val="minor"/>
          </rPr>
          <t>Introducir un texto con el nombre o referencia de la contratación</t>
        </r>
      </text>
    </comment>
    <comment ref="B3565" authorId="2">
      <text>
        <r>
          <rPr>
            <sz val="11"/>
            <color theme="1"/>
            <rFont val="Calibri"/>
            <family val="2"/>
            <scheme val="minor"/>
          </rPr>
          <t>Introduzca un texto con la finalidad de la contratación</t>
        </r>
      </text>
    </comment>
    <comment ref="C3565" authorId="2">
      <text>
        <r>
          <rPr>
            <sz val="11"/>
            <color theme="1"/>
            <rFont val="Calibri"/>
            <family val="2"/>
            <scheme val="minor"/>
          </rPr>
          <t>Seleccionar un valor del listado</t>
        </r>
      </text>
    </comment>
    <comment ref="D3565" authorId="2">
      <text>
        <r>
          <rPr>
            <sz val="11"/>
            <color theme="1"/>
            <rFont val="Calibri"/>
            <family val="2"/>
            <scheme val="minor"/>
          </rPr>
          <t>Seleccione el tipo de procedimiento</t>
        </r>
      </text>
    </comment>
    <comment ref="E3565" authorId="2">
      <text>
        <r>
          <rPr>
            <sz val="11"/>
            <color theme="1"/>
            <rFont val="Calibri"/>
            <family val="2"/>
            <scheme val="minor"/>
          </rPr>
          <t>Seleccione un valor de la lista</t>
        </r>
      </text>
    </comment>
    <comment ref="F3565" authorId="2">
      <text>
        <r>
          <rPr>
            <sz val="11"/>
            <color theme="1"/>
            <rFont val="Calibri"/>
            <family val="2"/>
            <scheme val="minor"/>
          </rPr>
          <t>Introduzca el código SNIP</t>
        </r>
      </text>
    </comment>
    <comment ref="C3566" authorId="2">
      <text>
        <r>
          <rPr>
            <sz val="11"/>
            <color theme="1"/>
            <rFont val="Calibri"/>
            <family val="2"/>
            <scheme val="minor"/>
          </rPr>
          <t>Introduzca la fecha de inicio del proceso, en formato dd-mm-aaaa</t>
        </r>
      </text>
    </comment>
    <comment ref="F35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7" authorId="2">
      <text/>
    </comment>
    <comment ref="C3568" authorId="2">
      <text>
        <r>
          <rPr>
            <sz val="11"/>
            <color theme="1"/>
            <rFont val="Calibri"/>
            <family val="2"/>
            <scheme val="minor"/>
          </rPr>
          <t>Introduzca la fecha prevista de adjudicación, en formato dd-mm-aaaa</t>
        </r>
      </text>
    </comment>
    <comment ref="F3568" authorId="2">
      <text/>
    </comment>
    <comment ref="F3569" authorId="2">
      <text/>
    </comment>
    <comment ref="A3571" authorId="2">
      <text>
        <r>
          <rPr>
            <sz val="11"/>
            <color theme="1"/>
            <rFont val="Calibri"/>
            <family val="2"/>
            <scheme val="minor"/>
          </rPr>
          <t>Introduzca un codigo UNSPSC</t>
        </r>
      </text>
    </comment>
    <comment ref="B3571" authorId="2">
      <text>
        <r>
          <rPr>
            <sz val="11"/>
            <color theme="1"/>
            <rFont val="Calibri"/>
            <family val="2"/>
            <scheme val="minor"/>
          </rPr>
          <t>Descripción calculada automáticamente a partir de código del artículo</t>
        </r>
      </text>
    </comment>
    <comment ref="C3571" authorId="2">
      <text>
        <r>
          <rPr>
            <sz val="11"/>
            <color theme="1"/>
            <rFont val="Calibri"/>
            <family val="2"/>
            <scheme val="minor"/>
          </rPr>
          <t>Seleccione un valor de la lista</t>
        </r>
      </text>
    </comment>
    <comment ref="D3571" authorId="2">
      <text>
        <r>
          <rPr>
            <sz val="11"/>
            <color theme="1"/>
            <rFont val="Calibri"/>
            <family val="2"/>
            <scheme val="minor"/>
          </rPr>
          <t>Introduzca un número con dos decimales como máximo. Debe ser igual o mayor a la "Cantidad Real Consumida"</t>
        </r>
      </text>
    </comment>
    <comment ref="E3571" authorId="2">
      <text>
        <r>
          <rPr>
            <sz val="11"/>
            <color theme="1"/>
            <rFont val="Calibri"/>
            <family val="2"/>
            <scheme val="minor"/>
          </rPr>
          <t>Introduzca un número con dos decimales como máximo</t>
        </r>
      </text>
    </comment>
    <comment ref="F3571" authorId="2">
      <text>
        <r>
          <rPr>
            <sz val="11"/>
            <color theme="1"/>
            <rFont val="Calibri"/>
            <family val="2"/>
            <scheme val="minor"/>
          </rPr>
          <t>Monto calculado automáticamente por el sistema</t>
        </r>
      </text>
    </comment>
    <comment ref="A3576" authorId="2">
      <text>
        <r>
          <rPr>
            <sz val="11"/>
            <color theme="1"/>
            <rFont val="Calibri"/>
            <family val="2"/>
            <scheme val="minor"/>
          </rPr>
          <t>Introducir un texto con el nombre o referencia de la contratación</t>
        </r>
      </text>
    </comment>
    <comment ref="B3576" authorId="2">
      <text>
        <r>
          <rPr>
            <sz val="11"/>
            <color theme="1"/>
            <rFont val="Calibri"/>
            <family val="2"/>
            <scheme val="minor"/>
          </rPr>
          <t>Introduzca un texto con la finalidad de la contratación</t>
        </r>
      </text>
    </comment>
    <comment ref="C3576" authorId="2">
      <text>
        <r>
          <rPr>
            <sz val="11"/>
            <color theme="1"/>
            <rFont val="Calibri"/>
            <family val="2"/>
            <scheme val="minor"/>
          </rPr>
          <t>Seleccionar un valor del listado</t>
        </r>
      </text>
    </comment>
    <comment ref="D3576" authorId="2">
      <text>
        <r>
          <rPr>
            <sz val="11"/>
            <color theme="1"/>
            <rFont val="Calibri"/>
            <family val="2"/>
            <scheme val="minor"/>
          </rPr>
          <t>Seleccione el tipo de procedimiento</t>
        </r>
      </text>
    </comment>
    <comment ref="E3576" authorId="2">
      <text>
        <r>
          <rPr>
            <sz val="11"/>
            <color theme="1"/>
            <rFont val="Calibri"/>
            <family val="2"/>
            <scheme val="minor"/>
          </rPr>
          <t>Seleccione un valor de la lista</t>
        </r>
      </text>
    </comment>
    <comment ref="F3576" authorId="2">
      <text>
        <r>
          <rPr>
            <sz val="11"/>
            <color theme="1"/>
            <rFont val="Calibri"/>
            <family val="2"/>
            <scheme val="minor"/>
          </rPr>
          <t>Introduzca el código SNIP</t>
        </r>
      </text>
    </comment>
    <comment ref="C3577" authorId="2">
      <text>
        <r>
          <rPr>
            <sz val="11"/>
            <color theme="1"/>
            <rFont val="Calibri"/>
            <family val="2"/>
            <scheme val="minor"/>
          </rPr>
          <t>Introduzca la fecha de inicio del proceso, en formato dd-mm-aaaa</t>
        </r>
      </text>
    </comment>
    <comment ref="F3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8" authorId="2">
      <text/>
    </comment>
    <comment ref="C3579" authorId="2">
      <text>
        <r>
          <rPr>
            <sz val="11"/>
            <color theme="1"/>
            <rFont val="Calibri"/>
            <family val="2"/>
            <scheme val="minor"/>
          </rPr>
          <t>Introduzca la fecha prevista de adjudicación, en formato dd-mm-aaaa</t>
        </r>
      </text>
    </comment>
    <comment ref="F3579" authorId="2">
      <text/>
    </comment>
    <comment ref="F3580" authorId="2">
      <text/>
    </comment>
    <comment ref="A3582" authorId="2">
      <text>
        <r>
          <rPr>
            <sz val="11"/>
            <color theme="1"/>
            <rFont val="Calibri"/>
            <family val="2"/>
            <scheme val="minor"/>
          </rPr>
          <t>Introduzca un codigo UNSPSC</t>
        </r>
      </text>
    </comment>
    <comment ref="B3582" authorId="2">
      <text>
        <r>
          <rPr>
            <sz val="11"/>
            <color theme="1"/>
            <rFont val="Calibri"/>
            <family val="2"/>
            <scheme val="minor"/>
          </rPr>
          <t>Descripción calculada automáticamente a partir de código del artículo</t>
        </r>
      </text>
    </comment>
    <comment ref="C3582" authorId="2">
      <text>
        <r>
          <rPr>
            <sz val="11"/>
            <color theme="1"/>
            <rFont val="Calibri"/>
            <family val="2"/>
            <scheme val="minor"/>
          </rPr>
          <t>Seleccione un valor de la lista</t>
        </r>
      </text>
    </comment>
    <comment ref="D3582" authorId="2">
      <text>
        <r>
          <rPr>
            <sz val="11"/>
            <color theme="1"/>
            <rFont val="Calibri"/>
            <family val="2"/>
            <scheme val="minor"/>
          </rPr>
          <t>Introduzca un número con dos decimales como máximo. Debe ser igual o mayor a la "Cantidad Real Consumida"</t>
        </r>
      </text>
    </comment>
    <comment ref="E3582" authorId="2">
      <text>
        <r>
          <rPr>
            <sz val="11"/>
            <color theme="1"/>
            <rFont val="Calibri"/>
            <family val="2"/>
            <scheme val="minor"/>
          </rPr>
          <t>Introduzca un número con dos decimales como máximo</t>
        </r>
      </text>
    </comment>
    <comment ref="F3582" authorId="2">
      <text>
        <r>
          <rPr>
            <sz val="11"/>
            <color theme="1"/>
            <rFont val="Calibri"/>
            <family val="2"/>
            <scheme val="minor"/>
          </rPr>
          <t>Monto calculado automáticamente por el sistema</t>
        </r>
      </text>
    </comment>
    <comment ref="A3597" authorId="2">
      <text>
        <r>
          <rPr>
            <sz val="11"/>
            <color theme="1"/>
            <rFont val="Calibri"/>
            <family val="2"/>
            <scheme val="minor"/>
          </rPr>
          <t>Introducir un texto con el nombre o referencia de la contratación</t>
        </r>
      </text>
    </comment>
    <comment ref="B3597" authorId="2">
      <text>
        <r>
          <rPr>
            <sz val="11"/>
            <color theme="1"/>
            <rFont val="Calibri"/>
            <family val="2"/>
            <scheme val="minor"/>
          </rPr>
          <t>Introduzca un texto con la finalidad de la contratación</t>
        </r>
      </text>
    </comment>
    <comment ref="C3597" authorId="2">
      <text>
        <r>
          <rPr>
            <sz val="11"/>
            <color theme="1"/>
            <rFont val="Calibri"/>
            <family val="2"/>
            <scheme val="minor"/>
          </rPr>
          <t>Seleccionar un valor del listado</t>
        </r>
      </text>
    </comment>
    <comment ref="D3597" authorId="2">
      <text>
        <r>
          <rPr>
            <sz val="11"/>
            <color theme="1"/>
            <rFont val="Calibri"/>
            <family val="2"/>
            <scheme val="minor"/>
          </rPr>
          <t>Seleccione el tipo de procedimiento</t>
        </r>
      </text>
    </comment>
    <comment ref="E3597" authorId="2">
      <text>
        <r>
          <rPr>
            <sz val="11"/>
            <color theme="1"/>
            <rFont val="Calibri"/>
            <family val="2"/>
            <scheme val="minor"/>
          </rPr>
          <t>Seleccione un valor de la lista</t>
        </r>
      </text>
    </comment>
    <comment ref="F3597" authorId="2">
      <text>
        <r>
          <rPr>
            <sz val="11"/>
            <color theme="1"/>
            <rFont val="Calibri"/>
            <family val="2"/>
            <scheme val="minor"/>
          </rPr>
          <t>Introduzca el código SNIP</t>
        </r>
      </text>
    </comment>
    <comment ref="C3598" authorId="2">
      <text>
        <r>
          <rPr>
            <sz val="11"/>
            <color theme="1"/>
            <rFont val="Calibri"/>
            <family val="2"/>
            <scheme val="minor"/>
          </rPr>
          <t>Introduzca la fecha de inicio del proceso, en formato dd-mm-aaaa</t>
        </r>
      </text>
    </comment>
    <comment ref="F35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9" authorId="2">
      <text/>
    </comment>
    <comment ref="C3600" authorId="2">
      <text>
        <r>
          <rPr>
            <sz val="11"/>
            <color theme="1"/>
            <rFont val="Calibri"/>
            <family val="2"/>
            <scheme val="minor"/>
          </rPr>
          <t>Introduzca la fecha prevista de adjudicación, en formato dd-mm-aaaa</t>
        </r>
      </text>
    </comment>
    <comment ref="F3600" authorId="2">
      <text/>
    </comment>
    <comment ref="F3601" authorId="2">
      <text/>
    </comment>
    <comment ref="A3603" authorId="2">
      <text>
        <r>
          <rPr>
            <sz val="11"/>
            <color theme="1"/>
            <rFont val="Calibri"/>
            <family val="2"/>
            <scheme val="minor"/>
          </rPr>
          <t>Introduzca un codigo UNSPSC</t>
        </r>
      </text>
    </comment>
    <comment ref="B3603" authorId="2">
      <text>
        <r>
          <rPr>
            <sz val="11"/>
            <color theme="1"/>
            <rFont val="Calibri"/>
            <family val="2"/>
            <scheme val="minor"/>
          </rPr>
          <t>Descripción calculada automáticamente a partir de código del artículo</t>
        </r>
      </text>
    </comment>
    <comment ref="C3603" authorId="2">
      <text>
        <r>
          <rPr>
            <sz val="11"/>
            <color theme="1"/>
            <rFont val="Calibri"/>
            <family val="2"/>
            <scheme val="minor"/>
          </rPr>
          <t>Seleccione un valor de la lista</t>
        </r>
      </text>
    </comment>
    <comment ref="D3603" authorId="2">
      <text>
        <r>
          <rPr>
            <sz val="11"/>
            <color theme="1"/>
            <rFont val="Calibri"/>
            <family val="2"/>
            <scheme val="minor"/>
          </rPr>
          <t>Introduzca un número con dos decimales como máximo. Debe ser igual o mayor a la "Cantidad Real Consumida"</t>
        </r>
      </text>
    </comment>
    <comment ref="E3603" authorId="2">
      <text>
        <r>
          <rPr>
            <sz val="11"/>
            <color theme="1"/>
            <rFont val="Calibri"/>
            <family val="2"/>
            <scheme val="minor"/>
          </rPr>
          <t>Introduzca un número con dos decimales como máximo</t>
        </r>
      </text>
    </comment>
    <comment ref="F3603" authorId="2">
      <text>
        <r>
          <rPr>
            <sz val="11"/>
            <color theme="1"/>
            <rFont val="Calibri"/>
            <family val="2"/>
            <scheme val="minor"/>
          </rPr>
          <t>Monto calculado automáticamente por el sistema</t>
        </r>
      </text>
    </comment>
    <comment ref="A3608" authorId="2">
      <text>
        <r>
          <rPr>
            <sz val="11"/>
            <color theme="1"/>
            <rFont val="Calibri"/>
            <family val="2"/>
            <scheme val="minor"/>
          </rPr>
          <t>Introducir un texto con el nombre o referencia de la contratación</t>
        </r>
      </text>
    </comment>
    <comment ref="B3608" authorId="2">
      <text>
        <r>
          <rPr>
            <sz val="11"/>
            <color theme="1"/>
            <rFont val="Calibri"/>
            <family val="2"/>
            <scheme val="minor"/>
          </rPr>
          <t>Introduzca un texto con la finalidad de la contratación</t>
        </r>
      </text>
    </comment>
    <comment ref="C3608" authorId="2">
      <text>
        <r>
          <rPr>
            <sz val="11"/>
            <color theme="1"/>
            <rFont val="Calibri"/>
            <family val="2"/>
            <scheme val="minor"/>
          </rPr>
          <t>Seleccionar un valor del listado</t>
        </r>
      </text>
    </comment>
    <comment ref="D3608" authorId="2">
      <text>
        <r>
          <rPr>
            <sz val="11"/>
            <color theme="1"/>
            <rFont val="Calibri"/>
            <family val="2"/>
            <scheme val="minor"/>
          </rPr>
          <t>Seleccione el tipo de procedimiento</t>
        </r>
      </text>
    </comment>
    <comment ref="E3608" authorId="2">
      <text>
        <r>
          <rPr>
            <sz val="11"/>
            <color theme="1"/>
            <rFont val="Calibri"/>
            <family val="2"/>
            <scheme val="minor"/>
          </rPr>
          <t>Seleccione un valor de la lista</t>
        </r>
      </text>
    </comment>
    <comment ref="F3608" authorId="2">
      <text>
        <r>
          <rPr>
            <sz val="11"/>
            <color theme="1"/>
            <rFont val="Calibri"/>
            <family val="2"/>
            <scheme val="minor"/>
          </rPr>
          <t>Introduzca el código SNIP</t>
        </r>
      </text>
    </comment>
    <comment ref="C3609" authorId="2">
      <text>
        <r>
          <rPr>
            <sz val="11"/>
            <color theme="1"/>
            <rFont val="Calibri"/>
            <family val="2"/>
            <scheme val="minor"/>
          </rPr>
          <t>Introduzca la fecha de inicio del proceso, en formato dd-mm-aaaa</t>
        </r>
      </text>
    </comment>
    <comment ref="F36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0" authorId="2">
      <text/>
    </comment>
    <comment ref="C3611" authorId="2">
      <text>
        <r>
          <rPr>
            <sz val="11"/>
            <color theme="1"/>
            <rFont val="Calibri"/>
            <family val="2"/>
            <scheme val="minor"/>
          </rPr>
          <t>Introduzca la fecha prevista de adjudicación, en formato dd-mm-aaaa</t>
        </r>
      </text>
    </comment>
    <comment ref="F3611" authorId="2">
      <text/>
    </comment>
    <comment ref="F3612" authorId="2">
      <text/>
    </comment>
    <comment ref="A3614" authorId="2">
      <text>
        <r>
          <rPr>
            <sz val="11"/>
            <color theme="1"/>
            <rFont val="Calibri"/>
            <family val="2"/>
            <scheme val="minor"/>
          </rPr>
          <t>Introduzca un codigo UNSPSC</t>
        </r>
      </text>
    </comment>
    <comment ref="B3614" authorId="2">
      <text>
        <r>
          <rPr>
            <sz val="11"/>
            <color theme="1"/>
            <rFont val="Calibri"/>
            <family val="2"/>
            <scheme val="minor"/>
          </rPr>
          <t>Descripción calculada automáticamente a partir de código del artículo</t>
        </r>
      </text>
    </comment>
    <comment ref="C3614" authorId="2">
      <text>
        <r>
          <rPr>
            <sz val="11"/>
            <color theme="1"/>
            <rFont val="Calibri"/>
            <family val="2"/>
            <scheme val="minor"/>
          </rPr>
          <t>Seleccione un valor de la lista</t>
        </r>
      </text>
    </comment>
    <comment ref="D3614" authorId="2">
      <text>
        <r>
          <rPr>
            <sz val="11"/>
            <color theme="1"/>
            <rFont val="Calibri"/>
            <family val="2"/>
            <scheme val="minor"/>
          </rPr>
          <t>Introduzca un número con dos decimales como máximo. Debe ser igual o mayor a la "Cantidad Real Consumida"</t>
        </r>
      </text>
    </comment>
    <comment ref="E3614" authorId="2">
      <text>
        <r>
          <rPr>
            <sz val="11"/>
            <color theme="1"/>
            <rFont val="Calibri"/>
            <family val="2"/>
            <scheme val="minor"/>
          </rPr>
          <t>Introduzca un número con dos decimales como máximo</t>
        </r>
      </text>
    </comment>
    <comment ref="F3614" authorId="2">
      <text>
        <r>
          <rPr>
            <sz val="11"/>
            <color theme="1"/>
            <rFont val="Calibri"/>
            <family val="2"/>
            <scheme val="minor"/>
          </rPr>
          <t>Monto calculado automáticamente por el sistema</t>
        </r>
      </text>
    </comment>
    <comment ref="A3619" authorId="2">
      <text>
        <r>
          <rPr>
            <sz val="11"/>
            <color theme="1"/>
            <rFont val="Calibri"/>
            <family val="2"/>
            <scheme val="minor"/>
          </rPr>
          <t>Introducir un texto con el nombre o referencia de la contratación</t>
        </r>
      </text>
    </comment>
    <comment ref="B3619" authorId="2">
      <text>
        <r>
          <rPr>
            <sz val="11"/>
            <color theme="1"/>
            <rFont val="Calibri"/>
            <family val="2"/>
            <scheme val="minor"/>
          </rPr>
          <t>Introduzca un texto con la finalidad de la contratación</t>
        </r>
      </text>
    </comment>
    <comment ref="C3619" authorId="2">
      <text>
        <r>
          <rPr>
            <sz val="11"/>
            <color theme="1"/>
            <rFont val="Calibri"/>
            <family val="2"/>
            <scheme val="minor"/>
          </rPr>
          <t>Seleccionar un valor del listado</t>
        </r>
      </text>
    </comment>
    <comment ref="D3619" authorId="2">
      <text>
        <r>
          <rPr>
            <sz val="11"/>
            <color theme="1"/>
            <rFont val="Calibri"/>
            <family val="2"/>
            <scheme val="minor"/>
          </rPr>
          <t>Seleccione el tipo de procedimiento</t>
        </r>
      </text>
    </comment>
    <comment ref="E3619" authorId="2">
      <text>
        <r>
          <rPr>
            <sz val="11"/>
            <color theme="1"/>
            <rFont val="Calibri"/>
            <family val="2"/>
            <scheme val="minor"/>
          </rPr>
          <t>Seleccione un valor de la lista</t>
        </r>
      </text>
    </comment>
    <comment ref="F3619" authorId="2">
      <text>
        <r>
          <rPr>
            <sz val="11"/>
            <color theme="1"/>
            <rFont val="Calibri"/>
            <family val="2"/>
            <scheme val="minor"/>
          </rPr>
          <t>Introduzca el código SNIP</t>
        </r>
      </text>
    </comment>
    <comment ref="C3620" authorId="2">
      <text>
        <r>
          <rPr>
            <sz val="11"/>
            <color theme="1"/>
            <rFont val="Calibri"/>
            <family val="2"/>
            <scheme val="minor"/>
          </rPr>
          <t>Introduzca la fecha de inicio del proceso, en formato dd-mm-aaaa</t>
        </r>
      </text>
    </comment>
    <comment ref="F36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1" authorId="2">
      <text/>
    </comment>
    <comment ref="C3622" authorId="2">
      <text>
        <r>
          <rPr>
            <sz val="11"/>
            <color theme="1"/>
            <rFont val="Calibri"/>
            <family val="2"/>
            <scheme val="minor"/>
          </rPr>
          <t>Introduzca la fecha prevista de adjudicación, en formato dd-mm-aaaa</t>
        </r>
      </text>
    </comment>
    <comment ref="F3622" authorId="2">
      <text/>
    </comment>
    <comment ref="F3623" authorId="2">
      <text/>
    </comment>
    <comment ref="A3625" authorId="2">
      <text>
        <r>
          <rPr>
            <sz val="11"/>
            <color theme="1"/>
            <rFont val="Calibri"/>
            <family val="2"/>
            <scheme val="minor"/>
          </rPr>
          <t>Introduzca un codigo UNSPSC</t>
        </r>
      </text>
    </comment>
    <comment ref="B3625" authorId="2">
      <text>
        <r>
          <rPr>
            <sz val="11"/>
            <color theme="1"/>
            <rFont val="Calibri"/>
            <family val="2"/>
            <scheme val="minor"/>
          </rPr>
          <t>Descripción calculada automáticamente a partir de código del artículo</t>
        </r>
      </text>
    </comment>
    <comment ref="C3625" authorId="2">
      <text>
        <r>
          <rPr>
            <sz val="11"/>
            <color theme="1"/>
            <rFont val="Calibri"/>
            <family val="2"/>
            <scheme val="minor"/>
          </rPr>
          <t>Seleccione un valor de la lista</t>
        </r>
      </text>
    </comment>
    <comment ref="D3625" authorId="2">
      <text>
        <r>
          <rPr>
            <sz val="11"/>
            <color theme="1"/>
            <rFont val="Calibri"/>
            <family val="2"/>
            <scheme val="minor"/>
          </rPr>
          <t>Introduzca un número con dos decimales como máximo. Debe ser igual o mayor a la "Cantidad Real Consumida"</t>
        </r>
      </text>
    </comment>
    <comment ref="E3625" authorId="2">
      <text>
        <r>
          <rPr>
            <sz val="11"/>
            <color theme="1"/>
            <rFont val="Calibri"/>
            <family val="2"/>
            <scheme val="minor"/>
          </rPr>
          <t>Introduzca un número con dos decimales como máximo</t>
        </r>
      </text>
    </comment>
    <comment ref="F3625" authorId="2">
      <text>
        <r>
          <rPr>
            <sz val="11"/>
            <color theme="1"/>
            <rFont val="Calibri"/>
            <family val="2"/>
            <scheme val="minor"/>
          </rPr>
          <t>Monto calculado automáticamente por el sistema</t>
        </r>
      </text>
    </comment>
    <comment ref="A3643" authorId="2">
      <text>
        <r>
          <rPr>
            <sz val="11"/>
            <color theme="1"/>
            <rFont val="Calibri"/>
            <family val="2"/>
            <scheme val="minor"/>
          </rPr>
          <t>Introducir un texto con el nombre o referencia de la contratación</t>
        </r>
      </text>
    </comment>
    <comment ref="B3643" authorId="2">
      <text>
        <r>
          <rPr>
            <sz val="11"/>
            <color theme="1"/>
            <rFont val="Calibri"/>
            <family val="2"/>
            <scheme val="minor"/>
          </rPr>
          <t>Introduzca un texto con la finalidad de la contratación</t>
        </r>
      </text>
    </comment>
    <comment ref="C3643" authorId="2">
      <text>
        <r>
          <rPr>
            <sz val="11"/>
            <color theme="1"/>
            <rFont val="Calibri"/>
            <family val="2"/>
            <scheme val="minor"/>
          </rPr>
          <t>Seleccionar un valor del listado</t>
        </r>
      </text>
    </comment>
    <comment ref="D3643" authorId="2">
      <text>
        <r>
          <rPr>
            <sz val="11"/>
            <color theme="1"/>
            <rFont val="Calibri"/>
            <family val="2"/>
            <scheme val="minor"/>
          </rPr>
          <t>Seleccione el tipo de procedimiento</t>
        </r>
      </text>
    </comment>
    <comment ref="E3643" authorId="2">
      <text>
        <r>
          <rPr>
            <sz val="11"/>
            <color theme="1"/>
            <rFont val="Calibri"/>
            <family val="2"/>
            <scheme val="minor"/>
          </rPr>
          <t>Seleccione un valor de la lista</t>
        </r>
      </text>
    </comment>
    <comment ref="F3643" authorId="2">
      <text>
        <r>
          <rPr>
            <sz val="11"/>
            <color theme="1"/>
            <rFont val="Calibri"/>
            <family val="2"/>
            <scheme val="minor"/>
          </rPr>
          <t>Introduzca el código SNIP</t>
        </r>
      </text>
    </comment>
    <comment ref="C3644" authorId="2">
      <text>
        <r>
          <rPr>
            <sz val="11"/>
            <color theme="1"/>
            <rFont val="Calibri"/>
            <family val="2"/>
            <scheme val="minor"/>
          </rPr>
          <t>Introduzca la fecha de inicio del proceso, en formato dd-mm-aaaa</t>
        </r>
      </text>
    </comment>
    <comment ref="F36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5" authorId="2">
      <text/>
    </comment>
    <comment ref="C3646" authorId="2">
      <text>
        <r>
          <rPr>
            <sz val="11"/>
            <color theme="1"/>
            <rFont val="Calibri"/>
            <family val="2"/>
            <scheme val="minor"/>
          </rPr>
          <t>Introduzca la fecha prevista de adjudicación, en formato dd-mm-aaaa</t>
        </r>
      </text>
    </comment>
    <comment ref="F3646" authorId="2">
      <text/>
    </comment>
    <comment ref="F3647" authorId="2">
      <text/>
    </comment>
    <comment ref="A3649" authorId="2">
      <text>
        <r>
          <rPr>
            <sz val="11"/>
            <color theme="1"/>
            <rFont val="Calibri"/>
            <family val="2"/>
            <scheme val="minor"/>
          </rPr>
          <t>Introduzca un codigo UNSPSC</t>
        </r>
      </text>
    </comment>
    <comment ref="B3649" authorId="2">
      <text>
        <r>
          <rPr>
            <sz val="11"/>
            <color theme="1"/>
            <rFont val="Calibri"/>
            <family val="2"/>
            <scheme val="minor"/>
          </rPr>
          <t>Descripción calculada automáticamente a partir de código del artículo</t>
        </r>
      </text>
    </comment>
    <comment ref="C3649" authorId="2">
      <text>
        <r>
          <rPr>
            <sz val="11"/>
            <color theme="1"/>
            <rFont val="Calibri"/>
            <family val="2"/>
            <scheme val="minor"/>
          </rPr>
          <t>Seleccione un valor de la lista</t>
        </r>
      </text>
    </comment>
    <comment ref="D3649" authorId="2">
      <text>
        <r>
          <rPr>
            <sz val="11"/>
            <color theme="1"/>
            <rFont val="Calibri"/>
            <family val="2"/>
            <scheme val="minor"/>
          </rPr>
          <t>Introduzca un número con dos decimales como máximo. Debe ser igual o mayor a la "Cantidad Real Consumida"</t>
        </r>
      </text>
    </comment>
    <comment ref="E3649" authorId="2">
      <text>
        <r>
          <rPr>
            <sz val="11"/>
            <color theme="1"/>
            <rFont val="Calibri"/>
            <family val="2"/>
            <scheme val="minor"/>
          </rPr>
          <t>Introduzca un número con dos decimales como máximo</t>
        </r>
      </text>
    </comment>
    <comment ref="F3649" authorId="2">
      <text>
        <r>
          <rPr>
            <sz val="11"/>
            <color theme="1"/>
            <rFont val="Calibri"/>
            <family val="2"/>
            <scheme val="minor"/>
          </rPr>
          <t>Monto calculado automáticamente por el sistema</t>
        </r>
      </text>
    </comment>
    <comment ref="A3655" authorId="2">
      <text>
        <r>
          <rPr>
            <sz val="11"/>
            <color theme="1"/>
            <rFont val="Calibri"/>
            <family val="2"/>
            <scheme val="minor"/>
          </rPr>
          <t>Introducir un texto con el nombre o referencia de la contratación</t>
        </r>
      </text>
    </comment>
    <comment ref="B3655" authorId="2">
      <text>
        <r>
          <rPr>
            <sz val="11"/>
            <color theme="1"/>
            <rFont val="Calibri"/>
            <family val="2"/>
            <scheme val="minor"/>
          </rPr>
          <t>Introduzca un texto con la finalidad de la contratación</t>
        </r>
      </text>
    </comment>
    <comment ref="C3655" authorId="2">
      <text>
        <r>
          <rPr>
            <sz val="11"/>
            <color theme="1"/>
            <rFont val="Calibri"/>
            <family val="2"/>
            <scheme val="minor"/>
          </rPr>
          <t>Seleccionar un valor del listado</t>
        </r>
      </text>
    </comment>
    <comment ref="D3655" authorId="2">
      <text>
        <r>
          <rPr>
            <sz val="11"/>
            <color theme="1"/>
            <rFont val="Calibri"/>
            <family val="2"/>
            <scheme val="minor"/>
          </rPr>
          <t>Seleccione el tipo de procedimiento</t>
        </r>
      </text>
    </comment>
    <comment ref="E3655" authorId="2">
      <text>
        <r>
          <rPr>
            <sz val="11"/>
            <color theme="1"/>
            <rFont val="Calibri"/>
            <family val="2"/>
            <scheme val="minor"/>
          </rPr>
          <t>Seleccione un valor de la lista</t>
        </r>
      </text>
    </comment>
    <comment ref="F3655" authorId="2">
      <text>
        <r>
          <rPr>
            <sz val="11"/>
            <color theme="1"/>
            <rFont val="Calibri"/>
            <family val="2"/>
            <scheme val="minor"/>
          </rPr>
          <t>Introduzca el código SNIP</t>
        </r>
      </text>
    </comment>
    <comment ref="C3656" authorId="2">
      <text>
        <r>
          <rPr>
            <sz val="11"/>
            <color theme="1"/>
            <rFont val="Calibri"/>
            <family val="2"/>
            <scheme val="minor"/>
          </rPr>
          <t>Introduzca la fecha de inicio del proceso, en formato dd-mm-aaaa</t>
        </r>
      </text>
    </comment>
    <comment ref="F36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7" authorId="2">
      <text/>
    </comment>
    <comment ref="C3658" authorId="2">
      <text>
        <r>
          <rPr>
            <sz val="11"/>
            <color theme="1"/>
            <rFont val="Calibri"/>
            <family val="2"/>
            <scheme val="minor"/>
          </rPr>
          <t>Introduzca la fecha prevista de adjudicación, en formato dd-mm-aaaa</t>
        </r>
      </text>
    </comment>
    <comment ref="F3658" authorId="2">
      <text/>
    </comment>
    <comment ref="F3659" authorId="2">
      <text/>
    </comment>
    <comment ref="A3661" authorId="2">
      <text>
        <r>
          <rPr>
            <sz val="11"/>
            <color theme="1"/>
            <rFont val="Calibri"/>
            <family val="2"/>
            <scheme val="minor"/>
          </rPr>
          <t>Introduzca un codigo UNSPSC</t>
        </r>
      </text>
    </comment>
    <comment ref="B3661" authorId="2">
      <text>
        <r>
          <rPr>
            <sz val="11"/>
            <color theme="1"/>
            <rFont val="Calibri"/>
            <family val="2"/>
            <scheme val="minor"/>
          </rPr>
          <t>Descripción calculada automáticamente a partir de código del artículo</t>
        </r>
      </text>
    </comment>
    <comment ref="C3661" authorId="2">
      <text>
        <r>
          <rPr>
            <sz val="11"/>
            <color theme="1"/>
            <rFont val="Calibri"/>
            <family val="2"/>
            <scheme val="minor"/>
          </rPr>
          <t>Seleccione un valor de la lista</t>
        </r>
      </text>
    </comment>
    <comment ref="D3661" authorId="2">
      <text>
        <r>
          <rPr>
            <sz val="11"/>
            <color theme="1"/>
            <rFont val="Calibri"/>
            <family val="2"/>
            <scheme val="minor"/>
          </rPr>
          <t>Introduzca un número con dos decimales como máximo. Debe ser igual o mayor a la "Cantidad Real Consumida"</t>
        </r>
      </text>
    </comment>
    <comment ref="E3661" authorId="2">
      <text>
        <r>
          <rPr>
            <sz val="11"/>
            <color theme="1"/>
            <rFont val="Calibri"/>
            <family val="2"/>
            <scheme val="minor"/>
          </rPr>
          <t>Introduzca un número con dos decimales como máximo</t>
        </r>
      </text>
    </comment>
    <comment ref="F3661" authorId="2">
      <text>
        <r>
          <rPr>
            <sz val="11"/>
            <color theme="1"/>
            <rFont val="Calibri"/>
            <family val="2"/>
            <scheme val="minor"/>
          </rPr>
          <t>Monto calculado automáticamente por el sistema</t>
        </r>
      </text>
    </comment>
    <comment ref="A3666" authorId="2">
      <text>
        <r>
          <rPr>
            <sz val="11"/>
            <color theme="1"/>
            <rFont val="Calibri"/>
            <family val="2"/>
            <scheme val="minor"/>
          </rPr>
          <t>Introducir un texto con el nombre o referencia de la contratación</t>
        </r>
      </text>
    </comment>
    <comment ref="B3666" authorId="2">
      <text>
        <r>
          <rPr>
            <sz val="11"/>
            <color theme="1"/>
            <rFont val="Calibri"/>
            <family val="2"/>
            <scheme val="minor"/>
          </rPr>
          <t>Introduzca un texto con la finalidad de la contratación</t>
        </r>
      </text>
    </comment>
    <comment ref="C3666" authorId="2">
      <text>
        <r>
          <rPr>
            <sz val="11"/>
            <color theme="1"/>
            <rFont val="Calibri"/>
            <family val="2"/>
            <scheme val="minor"/>
          </rPr>
          <t>Seleccionar un valor del listado</t>
        </r>
      </text>
    </comment>
    <comment ref="D3666" authorId="2">
      <text>
        <r>
          <rPr>
            <sz val="11"/>
            <color theme="1"/>
            <rFont val="Calibri"/>
            <family val="2"/>
            <scheme val="minor"/>
          </rPr>
          <t>Seleccione el tipo de procedimiento</t>
        </r>
      </text>
    </comment>
    <comment ref="E3666" authorId="2">
      <text>
        <r>
          <rPr>
            <sz val="11"/>
            <color theme="1"/>
            <rFont val="Calibri"/>
            <family val="2"/>
            <scheme val="minor"/>
          </rPr>
          <t>Seleccione un valor de la lista</t>
        </r>
      </text>
    </comment>
    <comment ref="F3666" authorId="2">
      <text>
        <r>
          <rPr>
            <sz val="11"/>
            <color theme="1"/>
            <rFont val="Calibri"/>
            <family val="2"/>
            <scheme val="minor"/>
          </rPr>
          <t>Introduzca el código SNIP</t>
        </r>
      </text>
    </comment>
    <comment ref="C3667" authorId="2">
      <text>
        <r>
          <rPr>
            <sz val="11"/>
            <color theme="1"/>
            <rFont val="Calibri"/>
            <family val="2"/>
            <scheme val="minor"/>
          </rPr>
          <t>Introduzca la fecha de inicio del proceso, en formato dd-mm-aaaa</t>
        </r>
      </text>
    </comment>
    <comment ref="F36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8" authorId="2">
      <text/>
    </comment>
    <comment ref="C3669" authorId="2">
      <text>
        <r>
          <rPr>
            <sz val="11"/>
            <color theme="1"/>
            <rFont val="Calibri"/>
            <family val="2"/>
            <scheme val="minor"/>
          </rPr>
          <t>Introduzca la fecha prevista de adjudicación, en formato dd-mm-aaaa</t>
        </r>
      </text>
    </comment>
    <comment ref="F3669" authorId="2">
      <text/>
    </comment>
    <comment ref="F3670" authorId="2">
      <text/>
    </comment>
    <comment ref="A3672" authorId="2">
      <text>
        <r>
          <rPr>
            <sz val="11"/>
            <color theme="1"/>
            <rFont val="Calibri"/>
            <family val="2"/>
            <scheme val="minor"/>
          </rPr>
          <t>Introduzca un codigo UNSPSC</t>
        </r>
      </text>
    </comment>
    <comment ref="B3672" authorId="2">
      <text>
        <r>
          <rPr>
            <sz val="11"/>
            <color theme="1"/>
            <rFont val="Calibri"/>
            <family val="2"/>
            <scheme val="minor"/>
          </rPr>
          <t>Descripción calculada automáticamente a partir de código del artículo</t>
        </r>
      </text>
    </comment>
    <comment ref="C3672" authorId="2">
      <text>
        <r>
          <rPr>
            <sz val="11"/>
            <color theme="1"/>
            <rFont val="Calibri"/>
            <family val="2"/>
            <scheme val="minor"/>
          </rPr>
          <t>Seleccione un valor de la lista</t>
        </r>
      </text>
    </comment>
    <comment ref="D3672" authorId="2">
      <text>
        <r>
          <rPr>
            <sz val="11"/>
            <color theme="1"/>
            <rFont val="Calibri"/>
            <family val="2"/>
            <scheme val="minor"/>
          </rPr>
          <t>Introduzca un número con dos decimales como máximo. Debe ser igual o mayor a la "Cantidad Real Consumida"</t>
        </r>
      </text>
    </comment>
    <comment ref="E3672" authorId="2">
      <text>
        <r>
          <rPr>
            <sz val="11"/>
            <color theme="1"/>
            <rFont val="Calibri"/>
            <family val="2"/>
            <scheme val="minor"/>
          </rPr>
          <t>Introduzca un número con dos decimales como máximo</t>
        </r>
      </text>
    </comment>
    <comment ref="F3672" authorId="2">
      <text>
        <r>
          <rPr>
            <sz val="11"/>
            <color theme="1"/>
            <rFont val="Calibri"/>
            <family val="2"/>
            <scheme val="minor"/>
          </rPr>
          <t>Monto calculado automáticamente por el sistema</t>
        </r>
      </text>
    </comment>
    <comment ref="A3687" authorId="2">
      <text>
        <r>
          <rPr>
            <sz val="11"/>
            <color theme="1"/>
            <rFont val="Calibri"/>
            <family val="2"/>
            <scheme val="minor"/>
          </rPr>
          <t>Introducir un texto con el nombre o referencia de la contratación</t>
        </r>
      </text>
    </comment>
    <comment ref="B3687" authorId="2">
      <text>
        <r>
          <rPr>
            <sz val="11"/>
            <color theme="1"/>
            <rFont val="Calibri"/>
            <family val="2"/>
            <scheme val="minor"/>
          </rPr>
          <t>Introduzca un texto con la finalidad de la contratación</t>
        </r>
      </text>
    </comment>
    <comment ref="C3687" authorId="2">
      <text>
        <r>
          <rPr>
            <sz val="11"/>
            <color theme="1"/>
            <rFont val="Calibri"/>
            <family val="2"/>
            <scheme val="minor"/>
          </rPr>
          <t>Seleccionar un valor del listado</t>
        </r>
      </text>
    </comment>
    <comment ref="D3687" authorId="2">
      <text>
        <r>
          <rPr>
            <sz val="11"/>
            <color theme="1"/>
            <rFont val="Calibri"/>
            <family val="2"/>
            <scheme val="minor"/>
          </rPr>
          <t>Seleccione el tipo de procedimiento</t>
        </r>
      </text>
    </comment>
    <comment ref="E3687" authorId="2">
      <text>
        <r>
          <rPr>
            <sz val="11"/>
            <color theme="1"/>
            <rFont val="Calibri"/>
            <family val="2"/>
            <scheme val="minor"/>
          </rPr>
          <t>Seleccione un valor de la lista</t>
        </r>
      </text>
    </comment>
    <comment ref="F3687" authorId="2">
      <text>
        <r>
          <rPr>
            <sz val="11"/>
            <color theme="1"/>
            <rFont val="Calibri"/>
            <family val="2"/>
            <scheme val="minor"/>
          </rPr>
          <t>Introduzca el código SNIP</t>
        </r>
      </text>
    </comment>
    <comment ref="C3688" authorId="2">
      <text>
        <r>
          <rPr>
            <sz val="11"/>
            <color theme="1"/>
            <rFont val="Calibri"/>
            <family val="2"/>
            <scheme val="minor"/>
          </rPr>
          <t>Introduzca la fecha de inicio del proceso, en formato dd-mm-aaaa</t>
        </r>
      </text>
    </comment>
    <comment ref="F36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9" authorId="2">
      <text/>
    </comment>
    <comment ref="C3690" authorId="2">
      <text>
        <r>
          <rPr>
            <sz val="11"/>
            <color theme="1"/>
            <rFont val="Calibri"/>
            <family val="2"/>
            <scheme val="minor"/>
          </rPr>
          <t>Introduzca la fecha prevista de adjudicación, en formato dd-mm-aaaa</t>
        </r>
      </text>
    </comment>
    <comment ref="F3690" authorId="2">
      <text/>
    </comment>
    <comment ref="F3691" authorId="2">
      <text/>
    </comment>
    <comment ref="A3693" authorId="2">
      <text>
        <r>
          <rPr>
            <sz val="11"/>
            <color theme="1"/>
            <rFont val="Calibri"/>
            <family val="2"/>
            <scheme val="minor"/>
          </rPr>
          <t>Introduzca un codigo UNSPSC</t>
        </r>
      </text>
    </comment>
    <comment ref="B3693" authorId="2">
      <text>
        <r>
          <rPr>
            <sz val="11"/>
            <color theme="1"/>
            <rFont val="Calibri"/>
            <family val="2"/>
            <scheme val="minor"/>
          </rPr>
          <t>Descripción calculada automáticamente a partir de código del artículo</t>
        </r>
      </text>
    </comment>
    <comment ref="C3693" authorId="2">
      <text>
        <r>
          <rPr>
            <sz val="11"/>
            <color theme="1"/>
            <rFont val="Calibri"/>
            <family val="2"/>
            <scheme val="minor"/>
          </rPr>
          <t>Seleccione un valor de la lista</t>
        </r>
      </text>
    </comment>
    <comment ref="D3693" authorId="2">
      <text>
        <r>
          <rPr>
            <sz val="11"/>
            <color theme="1"/>
            <rFont val="Calibri"/>
            <family val="2"/>
            <scheme val="minor"/>
          </rPr>
          <t>Introduzca un número con dos decimales como máximo. Debe ser igual o mayor a la "Cantidad Real Consumida"</t>
        </r>
      </text>
    </comment>
    <comment ref="E3693" authorId="2">
      <text>
        <r>
          <rPr>
            <sz val="11"/>
            <color theme="1"/>
            <rFont val="Calibri"/>
            <family val="2"/>
            <scheme val="minor"/>
          </rPr>
          <t>Introduzca un número con dos decimales como máximo</t>
        </r>
      </text>
    </comment>
    <comment ref="F3693" authorId="2">
      <text>
        <r>
          <rPr>
            <sz val="11"/>
            <color theme="1"/>
            <rFont val="Calibri"/>
            <family val="2"/>
            <scheme val="minor"/>
          </rPr>
          <t>Monto calculado automáticamente por el sistema</t>
        </r>
      </text>
    </comment>
    <comment ref="A3715" authorId="2">
      <text>
        <r>
          <rPr>
            <sz val="11"/>
            <color theme="1"/>
            <rFont val="Calibri"/>
            <family val="2"/>
            <scheme val="minor"/>
          </rPr>
          <t>Introducir un texto con el nombre o referencia de la contratación</t>
        </r>
      </text>
    </comment>
    <comment ref="B3715" authorId="2">
      <text>
        <r>
          <rPr>
            <sz val="11"/>
            <color theme="1"/>
            <rFont val="Calibri"/>
            <family val="2"/>
            <scheme val="minor"/>
          </rPr>
          <t>Introduzca un texto con la finalidad de la contratación</t>
        </r>
      </text>
    </comment>
    <comment ref="C3715" authorId="2">
      <text>
        <r>
          <rPr>
            <sz val="11"/>
            <color theme="1"/>
            <rFont val="Calibri"/>
            <family val="2"/>
            <scheme val="minor"/>
          </rPr>
          <t>Seleccionar un valor del listado</t>
        </r>
      </text>
    </comment>
    <comment ref="D3715" authorId="2">
      <text>
        <r>
          <rPr>
            <sz val="11"/>
            <color theme="1"/>
            <rFont val="Calibri"/>
            <family val="2"/>
            <scheme val="minor"/>
          </rPr>
          <t>Seleccione el tipo de procedimiento</t>
        </r>
      </text>
    </comment>
    <comment ref="E3715" authorId="2">
      <text>
        <r>
          <rPr>
            <sz val="11"/>
            <color theme="1"/>
            <rFont val="Calibri"/>
            <family val="2"/>
            <scheme val="minor"/>
          </rPr>
          <t>Seleccione un valor de la lista</t>
        </r>
      </text>
    </comment>
    <comment ref="F3715" authorId="2">
      <text>
        <r>
          <rPr>
            <sz val="11"/>
            <color theme="1"/>
            <rFont val="Calibri"/>
            <family val="2"/>
            <scheme val="minor"/>
          </rPr>
          <t>Introduzca el código SNIP</t>
        </r>
      </text>
    </comment>
    <comment ref="C3716" authorId="2">
      <text>
        <r>
          <rPr>
            <sz val="11"/>
            <color theme="1"/>
            <rFont val="Calibri"/>
            <family val="2"/>
            <scheme val="minor"/>
          </rPr>
          <t>Introduzca la fecha de inicio del proceso, en formato dd-mm-aaaa</t>
        </r>
      </text>
    </comment>
    <comment ref="F37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7" authorId="2">
      <text/>
    </comment>
    <comment ref="C3718" authorId="2">
      <text>
        <r>
          <rPr>
            <sz val="11"/>
            <color theme="1"/>
            <rFont val="Calibri"/>
            <family val="2"/>
            <scheme val="minor"/>
          </rPr>
          <t>Introduzca la fecha prevista de adjudicación, en formato dd-mm-aaaa</t>
        </r>
      </text>
    </comment>
    <comment ref="F3718" authorId="2">
      <text/>
    </comment>
    <comment ref="F3719" authorId="2">
      <text/>
    </comment>
    <comment ref="A3721" authorId="2">
      <text>
        <r>
          <rPr>
            <sz val="11"/>
            <color theme="1"/>
            <rFont val="Calibri"/>
            <family val="2"/>
            <scheme val="minor"/>
          </rPr>
          <t>Introduzca un codigo UNSPSC</t>
        </r>
      </text>
    </comment>
    <comment ref="B3721" authorId="2">
      <text>
        <r>
          <rPr>
            <sz val="11"/>
            <color theme="1"/>
            <rFont val="Calibri"/>
            <family val="2"/>
            <scheme val="minor"/>
          </rPr>
          <t>Descripción calculada automáticamente a partir de código del artículo</t>
        </r>
      </text>
    </comment>
    <comment ref="C3721" authorId="2">
      <text>
        <r>
          <rPr>
            <sz val="11"/>
            <color theme="1"/>
            <rFont val="Calibri"/>
            <family val="2"/>
            <scheme val="minor"/>
          </rPr>
          <t>Seleccione un valor de la lista</t>
        </r>
      </text>
    </comment>
    <comment ref="D3721" authorId="2">
      <text>
        <r>
          <rPr>
            <sz val="11"/>
            <color theme="1"/>
            <rFont val="Calibri"/>
            <family val="2"/>
            <scheme val="minor"/>
          </rPr>
          <t>Introduzca un número con dos decimales como máximo. Debe ser igual o mayor a la "Cantidad Real Consumida"</t>
        </r>
      </text>
    </comment>
    <comment ref="E3721" authorId="2">
      <text>
        <r>
          <rPr>
            <sz val="11"/>
            <color theme="1"/>
            <rFont val="Calibri"/>
            <family val="2"/>
            <scheme val="minor"/>
          </rPr>
          <t>Introduzca un número con dos decimales como máximo</t>
        </r>
      </text>
    </comment>
    <comment ref="F3721" authorId="2">
      <text>
        <r>
          <rPr>
            <sz val="11"/>
            <color theme="1"/>
            <rFont val="Calibri"/>
            <family val="2"/>
            <scheme val="minor"/>
          </rPr>
          <t>Monto calculado automáticamente por el sistema</t>
        </r>
      </text>
    </comment>
    <comment ref="A3727" authorId="2">
      <text>
        <r>
          <rPr>
            <sz val="11"/>
            <color theme="1"/>
            <rFont val="Calibri"/>
            <family val="2"/>
            <scheme val="minor"/>
          </rPr>
          <t>Introducir un texto con el nombre o referencia de la contratación</t>
        </r>
      </text>
    </comment>
    <comment ref="B3727" authorId="2">
      <text>
        <r>
          <rPr>
            <sz val="11"/>
            <color theme="1"/>
            <rFont val="Calibri"/>
            <family val="2"/>
            <scheme val="minor"/>
          </rPr>
          <t>Introduzca un texto con la finalidad de la contratación</t>
        </r>
      </text>
    </comment>
    <comment ref="C3727" authorId="2">
      <text>
        <r>
          <rPr>
            <sz val="11"/>
            <color theme="1"/>
            <rFont val="Calibri"/>
            <family val="2"/>
            <scheme val="minor"/>
          </rPr>
          <t>Seleccionar un valor del listado</t>
        </r>
      </text>
    </comment>
    <comment ref="D3727" authorId="2">
      <text>
        <r>
          <rPr>
            <sz val="11"/>
            <color theme="1"/>
            <rFont val="Calibri"/>
            <family val="2"/>
            <scheme val="minor"/>
          </rPr>
          <t>Seleccione el tipo de procedimiento</t>
        </r>
      </text>
    </comment>
    <comment ref="E3727" authorId="2">
      <text>
        <r>
          <rPr>
            <sz val="11"/>
            <color theme="1"/>
            <rFont val="Calibri"/>
            <family val="2"/>
            <scheme val="minor"/>
          </rPr>
          <t>Seleccione un valor de la lista</t>
        </r>
      </text>
    </comment>
    <comment ref="F3727" authorId="2">
      <text>
        <r>
          <rPr>
            <sz val="11"/>
            <color theme="1"/>
            <rFont val="Calibri"/>
            <family val="2"/>
            <scheme val="minor"/>
          </rPr>
          <t>Introduzca el código SNIP</t>
        </r>
      </text>
    </comment>
    <comment ref="C3728" authorId="2">
      <text>
        <r>
          <rPr>
            <sz val="11"/>
            <color theme="1"/>
            <rFont val="Calibri"/>
            <family val="2"/>
            <scheme val="minor"/>
          </rPr>
          <t>Introduzca la fecha de inicio del proceso, en formato dd-mm-aaaa</t>
        </r>
      </text>
    </comment>
    <comment ref="F37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9" authorId="2">
      <text/>
    </comment>
    <comment ref="C3730" authorId="2">
      <text>
        <r>
          <rPr>
            <sz val="11"/>
            <color theme="1"/>
            <rFont val="Calibri"/>
            <family val="2"/>
            <scheme val="minor"/>
          </rPr>
          <t>Introduzca la fecha prevista de adjudicación, en formato dd-mm-aaaa</t>
        </r>
      </text>
    </comment>
    <comment ref="F3730" authorId="2">
      <text/>
    </comment>
    <comment ref="F3731" authorId="2">
      <text/>
    </comment>
    <comment ref="A3733" authorId="2">
      <text>
        <r>
          <rPr>
            <sz val="11"/>
            <color theme="1"/>
            <rFont val="Calibri"/>
            <family val="2"/>
            <scheme val="minor"/>
          </rPr>
          <t>Introduzca un codigo UNSPSC</t>
        </r>
      </text>
    </comment>
    <comment ref="B3733" authorId="2">
      <text>
        <r>
          <rPr>
            <sz val="11"/>
            <color theme="1"/>
            <rFont val="Calibri"/>
            <family val="2"/>
            <scheme val="minor"/>
          </rPr>
          <t>Descripción calculada automáticamente a partir de código del artículo</t>
        </r>
      </text>
    </comment>
    <comment ref="C3733" authorId="2">
      <text>
        <r>
          <rPr>
            <sz val="11"/>
            <color theme="1"/>
            <rFont val="Calibri"/>
            <family val="2"/>
            <scheme val="minor"/>
          </rPr>
          <t>Seleccione un valor de la lista</t>
        </r>
      </text>
    </comment>
    <comment ref="D3733" authorId="2">
      <text>
        <r>
          <rPr>
            <sz val="11"/>
            <color theme="1"/>
            <rFont val="Calibri"/>
            <family val="2"/>
            <scheme val="minor"/>
          </rPr>
          <t>Introduzca un número con dos decimales como máximo. Debe ser igual o mayor a la "Cantidad Real Consumida"</t>
        </r>
      </text>
    </comment>
    <comment ref="E3733" authorId="2">
      <text>
        <r>
          <rPr>
            <sz val="11"/>
            <color theme="1"/>
            <rFont val="Calibri"/>
            <family val="2"/>
            <scheme val="minor"/>
          </rPr>
          <t>Introduzca un número con dos decimales como máximo</t>
        </r>
      </text>
    </comment>
    <comment ref="F3733" authorId="2">
      <text>
        <r>
          <rPr>
            <sz val="11"/>
            <color theme="1"/>
            <rFont val="Calibri"/>
            <family val="2"/>
            <scheme val="minor"/>
          </rPr>
          <t>Monto calculado automáticamente por el sistema</t>
        </r>
      </text>
    </comment>
    <comment ref="A3755" authorId="2">
      <text>
        <r>
          <rPr>
            <sz val="11"/>
            <color theme="1"/>
            <rFont val="Calibri"/>
            <family val="2"/>
            <scheme val="minor"/>
          </rPr>
          <t>Introducir un texto con el nombre o referencia de la contratación</t>
        </r>
      </text>
    </comment>
    <comment ref="B3755" authorId="2">
      <text>
        <r>
          <rPr>
            <sz val="11"/>
            <color theme="1"/>
            <rFont val="Calibri"/>
            <family val="2"/>
            <scheme val="minor"/>
          </rPr>
          <t>Introduzca un texto con la finalidad de la contratación</t>
        </r>
      </text>
    </comment>
    <comment ref="C3755" authorId="2">
      <text>
        <r>
          <rPr>
            <sz val="11"/>
            <color theme="1"/>
            <rFont val="Calibri"/>
            <family val="2"/>
            <scheme val="minor"/>
          </rPr>
          <t>Seleccionar un valor del listado</t>
        </r>
      </text>
    </comment>
    <comment ref="D3755" authorId="2">
      <text>
        <r>
          <rPr>
            <sz val="11"/>
            <color theme="1"/>
            <rFont val="Calibri"/>
            <family val="2"/>
            <scheme val="minor"/>
          </rPr>
          <t>Seleccione el tipo de procedimiento</t>
        </r>
      </text>
    </comment>
    <comment ref="E3755" authorId="2">
      <text>
        <r>
          <rPr>
            <sz val="11"/>
            <color theme="1"/>
            <rFont val="Calibri"/>
            <family val="2"/>
            <scheme val="minor"/>
          </rPr>
          <t>Seleccione un valor de la lista</t>
        </r>
      </text>
    </comment>
    <comment ref="F3755" authorId="2">
      <text>
        <r>
          <rPr>
            <sz val="11"/>
            <color theme="1"/>
            <rFont val="Calibri"/>
            <family val="2"/>
            <scheme val="minor"/>
          </rPr>
          <t>Introduzca el código SNIP</t>
        </r>
      </text>
    </comment>
    <comment ref="C3756" authorId="2">
      <text>
        <r>
          <rPr>
            <sz val="11"/>
            <color theme="1"/>
            <rFont val="Calibri"/>
            <family val="2"/>
            <scheme val="minor"/>
          </rPr>
          <t>Introduzca la fecha de inicio del proceso, en formato dd-mm-aaaa</t>
        </r>
      </text>
    </comment>
    <comment ref="F37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7" authorId="2">
      <text/>
    </comment>
    <comment ref="C3758" authorId="2">
      <text>
        <r>
          <rPr>
            <sz val="11"/>
            <color theme="1"/>
            <rFont val="Calibri"/>
            <family val="2"/>
            <scheme val="minor"/>
          </rPr>
          <t>Introduzca la fecha prevista de adjudicación, en formato dd-mm-aaaa</t>
        </r>
      </text>
    </comment>
    <comment ref="F3758" authorId="2">
      <text/>
    </comment>
    <comment ref="F3759" authorId="2">
      <text/>
    </comment>
    <comment ref="A3761" authorId="2">
      <text>
        <r>
          <rPr>
            <sz val="11"/>
            <color theme="1"/>
            <rFont val="Calibri"/>
            <family val="2"/>
            <scheme val="minor"/>
          </rPr>
          <t>Introduzca un codigo UNSPSC</t>
        </r>
      </text>
    </comment>
    <comment ref="B3761" authorId="2">
      <text>
        <r>
          <rPr>
            <sz val="11"/>
            <color theme="1"/>
            <rFont val="Calibri"/>
            <family val="2"/>
            <scheme val="minor"/>
          </rPr>
          <t>Descripción calculada automáticamente a partir de código del artículo</t>
        </r>
      </text>
    </comment>
    <comment ref="C3761" authorId="2">
      <text>
        <r>
          <rPr>
            <sz val="11"/>
            <color theme="1"/>
            <rFont val="Calibri"/>
            <family val="2"/>
            <scheme val="minor"/>
          </rPr>
          <t>Seleccione un valor de la lista</t>
        </r>
      </text>
    </comment>
    <comment ref="D3761" authorId="2">
      <text>
        <r>
          <rPr>
            <sz val="11"/>
            <color theme="1"/>
            <rFont val="Calibri"/>
            <family val="2"/>
            <scheme val="minor"/>
          </rPr>
          <t>Introduzca un número con dos decimales como máximo. Debe ser igual o mayor a la "Cantidad Real Consumida"</t>
        </r>
      </text>
    </comment>
    <comment ref="E3761" authorId="2">
      <text>
        <r>
          <rPr>
            <sz val="11"/>
            <color theme="1"/>
            <rFont val="Calibri"/>
            <family val="2"/>
            <scheme val="minor"/>
          </rPr>
          <t>Introduzca un número con dos decimales como máximo</t>
        </r>
      </text>
    </comment>
    <comment ref="F3761" authorId="2">
      <text>
        <r>
          <rPr>
            <sz val="11"/>
            <color theme="1"/>
            <rFont val="Calibri"/>
            <family val="2"/>
            <scheme val="minor"/>
          </rPr>
          <t>Monto calculado automáticamente por el sistema</t>
        </r>
      </text>
    </comment>
    <comment ref="A3767" authorId="2">
      <text>
        <r>
          <rPr>
            <sz val="11"/>
            <color theme="1"/>
            <rFont val="Calibri"/>
            <family val="2"/>
            <scheme val="minor"/>
          </rPr>
          <t>Introducir un texto con el nombre o referencia de la contratación</t>
        </r>
      </text>
    </comment>
    <comment ref="B3767" authorId="2">
      <text>
        <r>
          <rPr>
            <sz val="11"/>
            <color theme="1"/>
            <rFont val="Calibri"/>
            <family val="2"/>
            <scheme val="minor"/>
          </rPr>
          <t>Introduzca un texto con la finalidad de la contratación</t>
        </r>
      </text>
    </comment>
    <comment ref="C3767" authorId="2">
      <text>
        <r>
          <rPr>
            <sz val="11"/>
            <color theme="1"/>
            <rFont val="Calibri"/>
            <family val="2"/>
            <scheme val="minor"/>
          </rPr>
          <t>Seleccionar un valor del listado</t>
        </r>
      </text>
    </comment>
    <comment ref="D3767" authorId="2">
      <text>
        <r>
          <rPr>
            <sz val="11"/>
            <color theme="1"/>
            <rFont val="Calibri"/>
            <family val="2"/>
            <scheme val="minor"/>
          </rPr>
          <t>Seleccione el tipo de procedimiento</t>
        </r>
      </text>
    </comment>
    <comment ref="E3767" authorId="2">
      <text>
        <r>
          <rPr>
            <sz val="11"/>
            <color theme="1"/>
            <rFont val="Calibri"/>
            <family val="2"/>
            <scheme val="minor"/>
          </rPr>
          <t>Seleccione un valor de la lista</t>
        </r>
      </text>
    </comment>
    <comment ref="F3767" authorId="2">
      <text>
        <r>
          <rPr>
            <sz val="11"/>
            <color theme="1"/>
            <rFont val="Calibri"/>
            <family val="2"/>
            <scheme val="minor"/>
          </rPr>
          <t>Introduzca el código SNIP</t>
        </r>
      </text>
    </comment>
    <comment ref="C3768" authorId="2">
      <text>
        <r>
          <rPr>
            <sz val="11"/>
            <color theme="1"/>
            <rFont val="Calibri"/>
            <family val="2"/>
            <scheme val="minor"/>
          </rPr>
          <t>Introduzca la fecha de inicio del proceso, en formato dd-mm-aaaa</t>
        </r>
      </text>
    </comment>
    <comment ref="F37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9" authorId="2">
      <text/>
    </comment>
    <comment ref="C3770" authorId="2">
      <text>
        <r>
          <rPr>
            <sz val="11"/>
            <color theme="1"/>
            <rFont val="Calibri"/>
            <family val="2"/>
            <scheme val="minor"/>
          </rPr>
          <t>Introduzca la fecha prevista de adjudicación, en formato dd-mm-aaaa</t>
        </r>
      </text>
    </comment>
    <comment ref="F3770" authorId="2">
      <text/>
    </comment>
    <comment ref="F3771" authorId="2">
      <text/>
    </comment>
    <comment ref="A3773" authorId="2">
      <text>
        <r>
          <rPr>
            <sz val="11"/>
            <color theme="1"/>
            <rFont val="Calibri"/>
            <family val="2"/>
            <scheme val="minor"/>
          </rPr>
          <t>Introduzca un codigo UNSPSC</t>
        </r>
      </text>
    </comment>
    <comment ref="B3773" authorId="2">
      <text>
        <r>
          <rPr>
            <sz val="11"/>
            <color theme="1"/>
            <rFont val="Calibri"/>
            <family val="2"/>
            <scheme val="minor"/>
          </rPr>
          <t>Descripción calculada automáticamente a partir de código del artículo</t>
        </r>
      </text>
    </comment>
    <comment ref="C3773" authorId="2">
      <text>
        <r>
          <rPr>
            <sz val="11"/>
            <color theme="1"/>
            <rFont val="Calibri"/>
            <family val="2"/>
            <scheme val="minor"/>
          </rPr>
          <t>Seleccione un valor de la lista</t>
        </r>
      </text>
    </comment>
    <comment ref="D3773" authorId="2">
      <text>
        <r>
          <rPr>
            <sz val="11"/>
            <color theme="1"/>
            <rFont val="Calibri"/>
            <family val="2"/>
            <scheme val="minor"/>
          </rPr>
          <t>Introduzca un número con dos decimales como máximo. Debe ser igual o mayor a la "Cantidad Real Consumida"</t>
        </r>
      </text>
    </comment>
    <comment ref="E3773" authorId="2">
      <text>
        <r>
          <rPr>
            <sz val="11"/>
            <color theme="1"/>
            <rFont val="Calibri"/>
            <family val="2"/>
            <scheme val="minor"/>
          </rPr>
          <t>Introduzca un número con dos decimales como máximo</t>
        </r>
      </text>
    </comment>
    <comment ref="F3773" authorId="2">
      <text>
        <r>
          <rPr>
            <sz val="11"/>
            <color theme="1"/>
            <rFont val="Calibri"/>
            <family val="2"/>
            <scheme val="minor"/>
          </rPr>
          <t>Monto calculado automáticamente por el sistema</t>
        </r>
      </text>
    </comment>
    <comment ref="A3778" authorId="2">
      <text>
        <r>
          <rPr>
            <sz val="11"/>
            <color theme="1"/>
            <rFont val="Calibri"/>
            <family val="2"/>
            <scheme val="minor"/>
          </rPr>
          <t>Introducir un texto con el nombre o referencia de la contratación</t>
        </r>
      </text>
    </comment>
    <comment ref="B3778" authorId="2">
      <text>
        <r>
          <rPr>
            <sz val="11"/>
            <color theme="1"/>
            <rFont val="Calibri"/>
            <family val="2"/>
            <scheme val="minor"/>
          </rPr>
          <t>Introduzca un texto con la finalidad de la contratación</t>
        </r>
      </text>
    </comment>
    <comment ref="C3778" authorId="2">
      <text>
        <r>
          <rPr>
            <sz val="11"/>
            <color theme="1"/>
            <rFont val="Calibri"/>
            <family val="2"/>
            <scheme val="minor"/>
          </rPr>
          <t>Seleccionar un valor del listado</t>
        </r>
      </text>
    </comment>
    <comment ref="D3778" authorId="2">
      <text>
        <r>
          <rPr>
            <sz val="11"/>
            <color theme="1"/>
            <rFont val="Calibri"/>
            <family val="2"/>
            <scheme val="minor"/>
          </rPr>
          <t>Seleccione el tipo de procedimiento</t>
        </r>
      </text>
    </comment>
    <comment ref="E3778" authorId="2">
      <text>
        <r>
          <rPr>
            <sz val="11"/>
            <color theme="1"/>
            <rFont val="Calibri"/>
            <family val="2"/>
            <scheme val="minor"/>
          </rPr>
          <t>Seleccione un valor de la lista</t>
        </r>
      </text>
    </comment>
    <comment ref="F3778" authorId="2">
      <text>
        <r>
          <rPr>
            <sz val="11"/>
            <color theme="1"/>
            <rFont val="Calibri"/>
            <family val="2"/>
            <scheme val="minor"/>
          </rPr>
          <t>Introduzca el código SNIP</t>
        </r>
      </text>
    </comment>
    <comment ref="C3779" authorId="2">
      <text>
        <r>
          <rPr>
            <sz val="11"/>
            <color theme="1"/>
            <rFont val="Calibri"/>
            <family val="2"/>
            <scheme val="minor"/>
          </rPr>
          <t>Introduzca la fecha de inicio del proceso, en formato dd-mm-aaaa</t>
        </r>
      </text>
    </comment>
    <comment ref="F37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0" authorId="2">
      <text/>
    </comment>
    <comment ref="C3781" authorId="2">
      <text>
        <r>
          <rPr>
            <sz val="11"/>
            <color theme="1"/>
            <rFont val="Calibri"/>
            <family val="2"/>
            <scheme val="minor"/>
          </rPr>
          <t>Introduzca la fecha prevista de adjudicación, en formato dd-mm-aaaa</t>
        </r>
      </text>
    </comment>
    <comment ref="F3781" authorId="2">
      <text/>
    </comment>
    <comment ref="F3782" authorId="2">
      <text/>
    </comment>
    <comment ref="A3784" authorId="2">
      <text>
        <r>
          <rPr>
            <sz val="11"/>
            <color theme="1"/>
            <rFont val="Calibri"/>
            <family val="2"/>
            <scheme val="minor"/>
          </rPr>
          <t>Introduzca un codigo UNSPSC</t>
        </r>
      </text>
    </comment>
    <comment ref="B3784" authorId="2">
      <text>
        <r>
          <rPr>
            <sz val="11"/>
            <color theme="1"/>
            <rFont val="Calibri"/>
            <family val="2"/>
            <scheme val="minor"/>
          </rPr>
          <t>Descripción calculada automáticamente a partir de código del artículo</t>
        </r>
      </text>
    </comment>
    <comment ref="C3784" authorId="2">
      <text>
        <r>
          <rPr>
            <sz val="11"/>
            <color theme="1"/>
            <rFont val="Calibri"/>
            <family val="2"/>
            <scheme val="minor"/>
          </rPr>
          <t>Seleccione un valor de la lista</t>
        </r>
      </text>
    </comment>
    <comment ref="D3784" authorId="2">
      <text>
        <r>
          <rPr>
            <sz val="11"/>
            <color theme="1"/>
            <rFont val="Calibri"/>
            <family val="2"/>
            <scheme val="minor"/>
          </rPr>
          <t>Introduzca un número con dos decimales como máximo. Debe ser igual o mayor a la "Cantidad Real Consumida"</t>
        </r>
      </text>
    </comment>
    <comment ref="E3784" authorId="2">
      <text>
        <r>
          <rPr>
            <sz val="11"/>
            <color theme="1"/>
            <rFont val="Calibri"/>
            <family val="2"/>
            <scheme val="minor"/>
          </rPr>
          <t>Introduzca un número con dos decimales como máximo</t>
        </r>
      </text>
    </comment>
    <comment ref="F3784" authorId="2">
      <text>
        <r>
          <rPr>
            <sz val="11"/>
            <color theme="1"/>
            <rFont val="Calibri"/>
            <family val="2"/>
            <scheme val="minor"/>
          </rPr>
          <t>Monto calculado automáticamente por el sistema</t>
        </r>
      </text>
    </comment>
    <comment ref="A3806" authorId="2">
      <text>
        <r>
          <rPr>
            <sz val="11"/>
            <color theme="1"/>
            <rFont val="Calibri"/>
            <family val="2"/>
            <scheme val="minor"/>
          </rPr>
          <t>Introducir un texto con el nombre o referencia de la contratación</t>
        </r>
      </text>
    </comment>
    <comment ref="B3806" authorId="2">
      <text>
        <r>
          <rPr>
            <sz val="11"/>
            <color theme="1"/>
            <rFont val="Calibri"/>
            <family val="2"/>
            <scheme val="minor"/>
          </rPr>
          <t>Introduzca un texto con la finalidad de la contratación</t>
        </r>
      </text>
    </comment>
    <comment ref="C3806" authorId="2">
      <text>
        <r>
          <rPr>
            <sz val="11"/>
            <color theme="1"/>
            <rFont val="Calibri"/>
            <family val="2"/>
            <scheme val="minor"/>
          </rPr>
          <t>Seleccionar un valor del listado</t>
        </r>
      </text>
    </comment>
    <comment ref="D3806" authorId="2">
      <text>
        <r>
          <rPr>
            <sz val="11"/>
            <color theme="1"/>
            <rFont val="Calibri"/>
            <family val="2"/>
            <scheme val="minor"/>
          </rPr>
          <t>Seleccione el tipo de procedimiento</t>
        </r>
      </text>
    </comment>
    <comment ref="E3806" authorId="2">
      <text>
        <r>
          <rPr>
            <sz val="11"/>
            <color theme="1"/>
            <rFont val="Calibri"/>
            <family val="2"/>
            <scheme val="minor"/>
          </rPr>
          <t>Seleccione un valor de la lista</t>
        </r>
      </text>
    </comment>
    <comment ref="F3806" authorId="2">
      <text>
        <r>
          <rPr>
            <sz val="11"/>
            <color theme="1"/>
            <rFont val="Calibri"/>
            <family val="2"/>
            <scheme val="minor"/>
          </rPr>
          <t>Introduzca el código SNIP</t>
        </r>
      </text>
    </comment>
    <comment ref="C3807" authorId="2">
      <text>
        <r>
          <rPr>
            <sz val="11"/>
            <color theme="1"/>
            <rFont val="Calibri"/>
            <family val="2"/>
            <scheme val="minor"/>
          </rPr>
          <t>Introduzca la fecha de inicio del proceso, en formato dd-mm-aaaa</t>
        </r>
      </text>
    </comment>
    <comment ref="F38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8" authorId="2">
      <text/>
    </comment>
    <comment ref="C3809" authorId="2">
      <text>
        <r>
          <rPr>
            <sz val="11"/>
            <color theme="1"/>
            <rFont val="Calibri"/>
            <family val="2"/>
            <scheme val="minor"/>
          </rPr>
          <t>Introduzca la fecha prevista de adjudicación, en formato dd-mm-aaaa</t>
        </r>
      </text>
    </comment>
    <comment ref="F3809" authorId="2">
      <text/>
    </comment>
    <comment ref="F3810" authorId="2">
      <text/>
    </comment>
    <comment ref="A3812" authorId="2">
      <text>
        <r>
          <rPr>
            <sz val="11"/>
            <color theme="1"/>
            <rFont val="Calibri"/>
            <family val="2"/>
            <scheme val="minor"/>
          </rPr>
          <t>Introduzca un codigo UNSPSC</t>
        </r>
      </text>
    </comment>
    <comment ref="B3812" authorId="2">
      <text>
        <r>
          <rPr>
            <sz val="11"/>
            <color theme="1"/>
            <rFont val="Calibri"/>
            <family val="2"/>
            <scheme val="minor"/>
          </rPr>
          <t>Descripción calculada automáticamente a partir de código del artículo</t>
        </r>
      </text>
    </comment>
    <comment ref="C3812" authorId="2">
      <text>
        <r>
          <rPr>
            <sz val="11"/>
            <color theme="1"/>
            <rFont val="Calibri"/>
            <family val="2"/>
            <scheme val="minor"/>
          </rPr>
          <t>Seleccione un valor de la lista</t>
        </r>
      </text>
    </comment>
    <comment ref="D3812" authorId="2">
      <text>
        <r>
          <rPr>
            <sz val="11"/>
            <color theme="1"/>
            <rFont val="Calibri"/>
            <family val="2"/>
            <scheme val="minor"/>
          </rPr>
          <t>Introduzca un número con dos decimales como máximo. Debe ser igual o mayor a la "Cantidad Real Consumida"</t>
        </r>
      </text>
    </comment>
    <comment ref="E3812" authorId="2">
      <text>
        <r>
          <rPr>
            <sz val="11"/>
            <color theme="1"/>
            <rFont val="Calibri"/>
            <family val="2"/>
            <scheme val="minor"/>
          </rPr>
          <t>Introduzca un número con dos decimales como máximo</t>
        </r>
      </text>
    </comment>
    <comment ref="F3812" authorId="2">
      <text>
        <r>
          <rPr>
            <sz val="11"/>
            <color theme="1"/>
            <rFont val="Calibri"/>
            <family val="2"/>
            <scheme val="minor"/>
          </rPr>
          <t>Monto calculado automáticamente por el sistema</t>
        </r>
      </text>
    </comment>
    <comment ref="A3817" authorId="2">
      <text>
        <r>
          <rPr>
            <sz val="11"/>
            <color theme="1"/>
            <rFont val="Calibri"/>
            <family val="2"/>
            <scheme val="minor"/>
          </rPr>
          <t>Introducir un texto con el nombre o referencia de la contratación</t>
        </r>
      </text>
    </comment>
    <comment ref="B3817" authorId="2">
      <text>
        <r>
          <rPr>
            <sz val="11"/>
            <color theme="1"/>
            <rFont val="Calibri"/>
            <family val="2"/>
            <scheme val="minor"/>
          </rPr>
          <t>Introduzca un texto con la finalidad de la contratación</t>
        </r>
      </text>
    </comment>
    <comment ref="C3817" authorId="2">
      <text>
        <r>
          <rPr>
            <sz val="11"/>
            <color theme="1"/>
            <rFont val="Calibri"/>
            <family val="2"/>
            <scheme val="minor"/>
          </rPr>
          <t>Seleccionar un valor del listado</t>
        </r>
      </text>
    </comment>
    <comment ref="D3817" authorId="2">
      <text>
        <r>
          <rPr>
            <sz val="11"/>
            <color theme="1"/>
            <rFont val="Calibri"/>
            <family val="2"/>
            <scheme val="minor"/>
          </rPr>
          <t>Seleccione el tipo de procedimiento</t>
        </r>
      </text>
    </comment>
    <comment ref="E3817" authorId="2">
      <text>
        <r>
          <rPr>
            <sz val="11"/>
            <color theme="1"/>
            <rFont val="Calibri"/>
            <family val="2"/>
            <scheme val="minor"/>
          </rPr>
          <t>Seleccione un valor de la lista</t>
        </r>
      </text>
    </comment>
    <comment ref="F3817" authorId="2">
      <text>
        <r>
          <rPr>
            <sz val="11"/>
            <color theme="1"/>
            <rFont val="Calibri"/>
            <family val="2"/>
            <scheme val="minor"/>
          </rPr>
          <t>Introduzca el código SNIP</t>
        </r>
      </text>
    </comment>
    <comment ref="C3818" authorId="2">
      <text>
        <r>
          <rPr>
            <sz val="11"/>
            <color theme="1"/>
            <rFont val="Calibri"/>
            <family val="2"/>
            <scheme val="minor"/>
          </rPr>
          <t>Introduzca la fecha de inicio del proceso, en formato dd-mm-aaaa</t>
        </r>
      </text>
    </comment>
    <comment ref="F38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9" authorId="2">
      <text/>
    </comment>
    <comment ref="C3820" authorId="2">
      <text>
        <r>
          <rPr>
            <sz val="11"/>
            <color theme="1"/>
            <rFont val="Calibri"/>
            <family val="2"/>
            <scheme val="minor"/>
          </rPr>
          <t>Introduzca la fecha prevista de adjudicación, en formato dd-mm-aaaa</t>
        </r>
      </text>
    </comment>
    <comment ref="F3820" authorId="2">
      <text/>
    </comment>
    <comment ref="F3821" authorId="2">
      <text/>
    </comment>
    <comment ref="A3823" authorId="2">
      <text>
        <r>
          <rPr>
            <sz val="11"/>
            <color theme="1"/>
            <rFont val="Calibri"/>
            <family val="2"/>
            <scheme val="minor"/>
          </rPr>
          <t>Introduzca un codigo UNSPSC</t>
        </r>
      </text>
    </comment>
    <comment ref="B3823" authorId="2">
      <text>
        <r>
          <rPr>
            <sz val="11"/>
            <color theme="1"/>
            <rFont val="Calibri"/>
            <family val="2"/>
            <scheme val="minor"/>
          </rPr>
          <t>Descripción calculada automáticamente a partir de código del artículo</t>
        </r>
      </text>
    </comment>
    <comment ref="C3823" authorId="2">
      <text>
        <r>
          <rPr>
            <sz val="11"/>
            <color theme="1"/>
            <rFont val="Calibri"/>
            <family val="2"/>
            <scheme val="minor"/>
          </rPr>
          <t>Seleccione un valor de la lista</t>
        </r>
      </text>
    </comment>
    <comment ref="D3823" authorId="2">
      <text>
        <r>
          <rPr>
            <sz val="11"/>
            <color theme="1"/>
            <rFont val="Calibri"/>
            <family val="2"/>
            <scheme val="minor"/>
          </rPr>
          <t>Introduzca un número con dos decimales como máximo. Debe ser igual o mayor a la "Cantidad Real Consumida"</t>
        </r>
      </text>
    </comment>
    <comment ref="E3823" authorId="2">
      <text>
        <r>
          <rPr>
            <sz val="11"/>
            <color theme="1"/>
            <rFont val="Calibri"/>
            <family val="2"/>
            <scheme val="minor"/>
          </rPr>
          <t>Introduzca un número con dos decimales como máximo</t>
        </r>
      </text>
    </comment>
    <comment ref="F3823" authorId="2">
      <text>
        <r>
          <rPr>
            <sz val="11"/>
            <color theme="1"/>
            <rFont val="Calibri"/>
            <family val="2"/>
            <scheme val="minor"/>
          </rPr>
          <t>Monto calculado automáticamente por el sistema</t>
        </r>
      </text>
    </comment>
    <comment ref="A3845" authorId="2">
      <text>
        <r>
          <rPr>
            <sz val="11"/>
            <color theme="1"/>
            <rFont val="Calibri"/>
            <family val="2"/>
            <scheme val="minor"/>
          </rPr>
          <t>Introducir un texto con el nombre o referencia de la contratación</t>
        </r>
      </text>
    </comment>
    <comment ref="B3845" authorId="2">
      <text>
        <r>
          <rPr>
            <sz val="11"/>
            <color theme="1"/>
            <rFont val="Calibri"/>
            <family val="2"/>
            <scheme val="minor"/>
          </rPr>
          <t>Introduzca un texto con la finalidad de la contratación</t>
        </r>
      </text>
    </comment>
    <comment ref="C3845" authorId="2">
      <text>
        <r>
          <rPr>
            <sz val="11"/>
            <color theme="1"/>
            <rFont val="Calibri"/>
            <family val="2"/>
            <scheme val="minor"/>
          </rPr>
          <t>Seleccionar un valor del listado</t>
        </r>
      </text>
    </comment>
    <comment ref="D3845" authorId="2">
      <text>
        <r>
          <rPr>
            <sz val="11"/>
            <color theme="1"/>
            <rFont val="Calibri"/>
            <family val="2"/>
            <scheme val="minor"/>
          </rPr>
          <t>Seleccione el tipo de procedimiento</t>
        </r>
      </text>
    </comment>
    <comment ref="E3845" authorId="2">
      <text>
        <r>
          <rPr>
            <sz val="11"/>
            <color theme="1"/>
            <rFont val="Calibri"/>
            <family val="2"/>
            <scheme val="minor"/>
          </rPr>
          <t>Seleccione un valor de la lista</t>
        </r>
      </text>
    </comment>
    <comment ref="F3845" authorId="2">
      <text>
        <r>
          <rPr>
            <sz val="11"/>
            <color theme="1"/>
            <rFont val="Calibri"/>
            <family val="2"/>
            <scheme val="minor"/>
          </rPr>
          <t>Introduzca el código SNIP</t>
        </r>
      </text>
    </comment>
    <comment ref="C3846" authorId="2">
      <text>
        <r>
          <rPr>
            <sz val="11"/>
            <color theme="1"/>
            <rFont val="Calibri"/>
            <family val="2"/>
            <scheme val="minor"/>
          </rPr>
          <t>Introduzca la fecha de inicio del proceso, en formato dd-mm-aaaa</t>
        </r>
      </text>
    </comment>
    <comment ref="F38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7" authorId="2">
      <text/>
    </comment>
    <comment ref="C3848" authorId="2">
      <text>
        <r>
          <rPr>
            <sz val="11"/>
            <color theme="1"/>
            <rFont val="Calibri"/>
            <family val="2"/>
            <scheme val="minor"/>
          </rPr>
          <t>Introduzca la fecha prevista de adjudicación, en formato dd-mm-aaaa</t>
        </r>
      </text>
    </comment>
    <comment ref="F3848" authorId="2">
      <text/>
    </comment>
    <comment ref="F3849" authorId="2">
      <text/>
    </comment>
    <comment ref="A3851" authorId="2">
      <text>
        <r>
          <rPr>
            <sz val="11"/>
            <color theme="1"/>
            <rFont val="Calibri"/>
            <family val="2"/>
            <scheme val="minor"/>
          </rPr>
          <t>Introduzca un codigo UNSPSC</t>
        </r>
      </text>
    </comment>
    <comment ref="B3851" authorId="2">
      <text>
        <r>
          <rPr>
            <sz val="11"/>
            <color theme="1"/>
            <rFont val="Calibri"/>
            <family val="2"/>
            <scheme val="minor"/>
          </rPr>
          <t>Descripción calculada automáticamente a partir de código del artículo</t>
        </r>
      </text>
    </comment>
    <comment ref="C3851" authorId="2">
      <text>
        <r>
          <rPr>
            <sz val="11"/>
            <color theme="1"/>
            <rFont val="Calibri"/>
            <family val="2"/>
            <scheme val="minor"/>
          </rPr>
          <t>Seleccione un valor de la lista</t>
        </r>
      </text>
    </comment>
    <comment ref="D3851" authorId="2">
      <text>
        <r>
          <rPr>
            <sz val="11"/>
            <color theme="1"/>
            <rFont val="Calibri"/>
            <family val="2"/>
            <scheme val="minor"/>
          </rPr>
          <t>Introduzca un número con dos decimales como máximo. Debe ser igual o mayor a la "Cantidad Real Consumida"</t>
        </r>
      </text>
    </comment>
    <comment ref="E3851" authorId="2">
      <text>
        <r>
          <rPr>
            <sz val="11"/>
            <color theme="1"/>
            <rFont val="Calibri"/>
            <family val="2"/>
            <scheme val="minor"/>
          </rPr>
          <t>Introduzca un número con dos decimales como máximo</t>
        </r>
      </text>
    </comment>
    <comment ref="F3851" authorId="2">
      <text>
        <r>
          <rPr>
            <sz val="11"/>
            <color theme="1"/>
            <rFont val="Calibri"/>
            <family val="2"/>
            <scheme val="minor"/>
          </rPr>
          <t>Monto calculado automáticamente por el sistema</t>
        </r>
      </text>
    </comment>
    <comment ref="A3856" authorId="2">
      <text>
        <r>
          <rPr>
            <sz val="11"/>
            <color theme="1"/>
            <rFont val="Calibri"/>
            <family val="2"/>
            <scheme val="minor"/>
          </rPr>
          <t>Introducir un texto con el nombre o referencia de la contratación</t>
        </r>
      </text>
    </comment>
    <comment ref="B3856" authorId="2">
      <text>
        <r>
          <rPr>
            <sz val="11"/>
            <color theme="1"/>
            <rFont val="Calibri"/>
            <family val="2"/>
            <scheme val="minor"/>
          </rPr>
          <t>Introduzca un texto con la finalidad de la contratación</t>
        </r>
      </text>
    </comment>
    <comment ref="C3856" authorId="2">
      <text>
        <r>
          <rPr>
            <sz val="11"/>
            <color theme="1"/>
            <rFont val="Calibri"/>
            <family val="2"/>
            <scheme val="minor"/>
          </rPr>
          <t>Seleccionar un valor del listado</t>
        </r>
      </text>
    </comment>
    <comment ref="D3856" authorId="2">
      <text>
        <r>
          <rPr>
            <sz val="11"/>
            <color theme="1"/>
            <rFont val="Calibri"/>
            <family val="2"/>
            <scheme val="minor"/>
          </rPr>
          <t>Seleccione el tipo de procedimiento</t>
        </r>
      </text>
    </comment>
    <comment ref="E3856" authorId="2">
      <text>
        <r>
          <rPr>
            <sz val="11"/>
            <color theme="1"/>
            <rFont val="Calibri"/>
            <family val="2"/>
            <scheme val="minor"/>
          </rPr>
          <t>Seleccione un valor de la lista</t>
        </r>
      </text>
    </comment>
    <comment ref="F3856" authorId="2">
      <text>
        <r>
          <rPr>
            <sz val="11"/>
            <color theme="1"/>
            <rFont val="Calibri"/>
            <family val="2"/>
            <scheme val="minor"/>
          </rPr>
          <t>Introduzca el código SNIP</t>
        </r>
      </text>
    </comment>
    <comment ref="C3857" authorId="2">
      <text>
        <r>
          <rPr>
            <sz val="11"/>
            <color theme="1"/>
            <rFont val="Calibri"/>
            <family val="2"/>
            <scheme val="minor"/>
          </rPr>
          <t>Introduzca la fecha de inicio del proceso, en formato dd-mm-aaaa</t>
        </r>
      </text>
    </comment>
    <comment ref="F38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8" authorId="2">
      <text/>
    </comment>
    <comment ref="C3859" authorId="2">
      <text>
        <r>
          <rPr>
            <sz val="11"/>
            <color theme="1"/>
            <rFont val="Calibri"/>
            <family val="2"/>
            <scheme val="minor"/>
          </rPr>
          <t>Introduzca la fecha prevista de adjudicación, en formato dd-mm-aaaa</t>
        </r>
      </text>
    </comment>
    <comment ref="F3859" authorId="2">
      <text/>
    </comment>
    <comment ref="F3860" authorId="2">
      <text/>
    </comment>
    <comment ref="A3862" authorId="2">
      <text>
        <r>
          <rPr>
            <sz val="11"/>
            <color theme="1"/>
            <rFont val="Calibri"/>
            <family val="2"/>
            <scheme val="minor"/>
          </rPr>
          <t>Introduzca un codigo UNSPSC</t>
        </r>
      </text>
    </comment>
    <comment ref="B3862" authorId="2">
      <text>
        <r>
          <rPr>
            <sz val="11"/>
            <color theme="1"/>
            <rFont val="Calibri"/>
            <family val="2"/>
            <scheme val="minor"/>
          </rPr>
          <t>Descripción calculada automáticamente a partir de código del artículo</t>
        </r>
      </text>
    </comment>
    <comment ref="C3862" authorId="2">
      <text>
        <r>
          <rPr>
            <sz val="11"/>
            <color theme="1"/>
            <rFont val="Calibri"/>
            <family val="2"/>
            <scheme val="minor"/>
          </rPr>
          <t>Seleccione un valor de la lista</t>
        </r>
      </text>
    </comment>
    <comment ref="D3862" authorId="2">
      <text>
        <r>
          <rPr>
            <sz val="11"/>
            <color theme="1"/>
            <rFont val="Calibri"/>
            <family val="2"/>
            <scheme val="minor"/>
          </rPr>
          <t>Introduzca un número con dos decimales como máximo. Debe ser igual o mayor a la "Cantidad Real Consumida"</t>
        </r>
      </text>
    </comment>
    <comment ref="E3862" authorId="2">
      <text>
        <r>
          <rPr>
            <sz val="11"/>
            <color theme="1"/>
            <rFont val="Calibri"/>
            <family val="2"/>
            <scheme val="minor"/>
          </rPr>
          <t>Introduzca un número con dos decimales como máximo</t>
        </r>
      </text>
    </comment>
    <comment ref="F3862" authorId="2">
      <text>
        <r>
          <rPr>
            <sz val="11"/>
            <color theme="1"/>
            <rFont val="Calibri"/>
            <family val="2"/>
            <scheme val="minor"/>
          </rPr>
          <t>Monto calculado automáticamente por el sistema</t>
        </r>
      </text>
    </comment>
    <comment ref="A3884" authorId="2">
      <text>
        <r>
          <rPr>
            <sz val="11"/>
            <color theme="1"/>
            <rFont val="Calibri"/>
            <family val="2"/>
            <scheme val="minor"/>
          </rPr>
          <t>Introducir un texto con el nombre o referencia de la contratación</t>
        </r>
      </text>
    </comment>
    <comment ref="B3884" authorId="2">
      <text>
        <r>
          <rPr>
            <sz val="11"/>
            <color theme="1"/>
            <rFont val="Calibri"/>
            <family val="2"/>
            <scheme val="minor"/>
          </rPr>
          <t>Introduzca un texto con la finalidad de la contratación</t>
        </r>
      </text>
    </comment>
    <comment ref="C3884" authorId="2">
      <text>
        <r>
          <rPr>
            <sz val="11"/>
            <color theme="1"/>
            <rFont val="Calibri"/>
            <family val="2"/>
            <scheme val="minor"/>
          </rPr>
          <t>Seleccionar un valor del listado</t>
        </r>
      </text>
    </comment>
    <comment ref="D3884" authorId="2">
      <text>
        <r>
          <rPr>
            <sz val="11"/>
            <color theme="1"/>
            <rFont val="Calibri"/>
            <family val="2"/>
            <scheme val="minor"/>
          </rPr>
          <t>Seleccione el tipo de procedimiento</t>
        </r>
      </text>
    </comment>
    <comment ref="E3884" authorId="2">
      <text>
        <r>
          <rPr>
            <sz val="11"/>
            <color theme="1"/>
            <rFont val="Calibri"/>
            <family val="2"/>
            <scheme val="minor"/>
          </rPr>
          <t>Seleccione un valor de la lista</t>
        </r>
      </text>
    </comment>
    <comment ref="F3884" authorId="2">
      <text>
        <r>
          <rPr>
            <sz val="11"/>
            <color theme="1"/>
            <rFont val="Calibri"/>
            <family val="2"/>
            <scheme val="minor"/>
          </rPr>
          <t>Introduzca el código SNIP</t>
        </r>
      </text>
    </comment>
    <comment ref="C3885" authorId="2">
      <text>
        <r>
          <rPr>
            <sz val="11"/>
            <color theme="1"/>
            <rFont val="Calibri"/>
            <family val="2"/>
            <scheme val="minor"/>
          </rPr>
          <t>Introduzca la fecha de inicio del proceso, en formato dd-mm-aaaa</t>
        </r>
      </text>
    </comment>
    <comment ref="F38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6" authorId="2">
      <text/>
    </comment>
    <comment ref="C3887" authorId="2">
      <text>
        <r>
          <rPr>
            <sz val="11"/>
            <color theme="1"/>
            <rFont val="Calibri"/>
            <family val="2"/>
            <scheme val="minor"/>
          </rPr>
          <t>Introduzca la fecha prevista de adjudicación, en formato dd-mm-aaaa</t>
        </r>
      </text>
    </comment>
    <comment ref="F3887" authorId="2">
      <text/>
    </comment>
    <comment ref="F3888" authorId="2">
      <text/>
    </comment>
    <comment ref="A3890" authorId="2">
      <text>
        <r>
          <rPr>
            <sz val="11"/>
            <color theme="1"/>
            <rFont val="Calibri"/>
            <family val="2"/>
            <scheme val="minor"/>
          </rPr>
          <t>Introduzca un codigo UNSPSC</t>
        </r>
      </text>
    </comment>
    <comment ref="B3890" authorId="2">
      <text>
        <r>
          <rPr>
            <sz val="11"/>
            <color theme="1"/>
            <rFont val="Calibri"/>
            <family val="2"/>
            <scheme val="minor"/>
          </rPr>
          <t>Descripción calculada automáticamente a partir de código del artículo</t>
        </r>
      </text>
    </comment>
    <comment ref="C3890" authorId="2">
      <text>
        <r>
          <rPr>
            <sz val="11"/>
            <color theme="1"/>
            <rFont val="Calibri"/>
            <family val="2"/>
            <scheme val="minor"/>
          </rPr>
          <t>Seleccione un valor de la lista</t>
        </r>
      </text>
    </comment>
    <comment ref="D3890" authorId="2">
      <text>
        <r>
          <rPr>
            <sz val="11"/>
            <color theme="1"/>
            <rFont val="Calibri"/>
            <family val="2"/>
            <scheme val="minor"/>
          </rPr>
          <t>Introduzca un número con dos decimales como máximo. Debe ser igual o mayor a la "Cantidad Real Consumida"</t>
        </r>
      </text>
    </comment>
    <comment ref="E3890" authorId="2">
      <text>
        <r>
          <rPr>
            <sz val="11"/>
            <color theme="1"/>
            <rFont val="Calibri"/>
            <family val="2"/>
            <scheme val="minor"/>
          </rPr>
          <t>Introduzca un número con dos decimales como máximo</t>
        </r>
      </text>
    </comment>
    <comment ref="F3890" authorId="2">
      <text>
        <r>
          <rPr>
            <sz val="11"/>
            <color theme="1"/>
            <rFont val="Calibri"/>
            <family val="2"/>
            <scheme val="minor"/>
          </rPr>
          <t>Monto calculado automáticamente por el sistema</t>
        </r>
      </text>
    </comment>
    <comment ref="A3896" authorId="2">
      <text>
        <r>
          <rPr>
            <sz val="11"/>
            <color theme="1"/>
            <rFont val="Calibri"/>
            <family val="2"/>
            <scheme val="minor"/>
          </rPr>
          <t>Introducir un texto con el nombre o referencia de la contratación</t>
        </r>
      </text>
    </comment>
    <comment ref="B3896" authorId="2">
      <text>
        <r>
          <rPr>
            <sz val="11"/>
            <color theme="1"/>
            <rFont val="Calibri"/>
            <family val="2"/>
            <scheme val="minor"/>
          </rPr>
          <t>Introduzca un texto con la finalidad de la contratación</t>
        </r>
      </text>
    </comment>
    <comment ref="C3896" authorId="2">
      <text>
        <r>
          <rPr>
            <sz val="11"/>
            <color theme="1"/>
            <rFont val="Calibri"/>
            <family val="2"/>
            <scheme val="minor"/>
          </rPr>
          <t>Seleccionar un valor del listado</t>
        </r>
      </text>
    </comment>
    <comment ref="D3896" authorId="2">
      <text>
        <r>
          <rPr>
            <sz val="11"/>
            <color theme="1"/>
            <rFont val="Calibri"/>
            <family val="2"/>
            <scheme val="minor"/>
          </rPr>
          <t>Seleccione el tipo de procedimiento</t>
        </r>
      </text>
    </comment>
    <comment ref="E3896" authorId="2">
      <text>
        <r>
          <rPr>
            <sz val="11"/>
            <color theme="1"/>
            <rFont val="Calibri"/>
            <family val="2"/>
            <scheme val="minor"/>
          </rPr>
          <t>Seleccione un valor de la lista</t>
        </r>
      </text>
    </comment>
    <comment ref="F3896" authorId="2">
      <text>
        <r>
          <rPr>
            <sz val="11"/>
            <color theme="1"/>
            <rFont val="Calibri"/>
            <family val="2"/>
            <scheme val="minor"/>
          </rPr>
          <t>Introduzca el código SNIP</t>
        </r>
      </text>
    </comment>
    <comment ref="C3897" authorId="2">
      <text>
        <r>
          <rPr>
            <sz val="11"/>
            <color theme="1"/>
            <rFont val="Calibri"/>
            <family val="2"/>
            <scheme val="minor"/>
          </rPr>
          <t>Introduzca la fecha de inicio del proceso, en formato dd-mm-aaaa</t>
        </r>
      </text>
    </comment>
    <comment ref="F38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8" authorId="2">
      <text/>
    </comment>
    <comment ref="C3899" authorId="2">
      <text>
        <r>
          <rPr>
            <sz val="11"/>
            <color theme="1"/>
            <rFont val="Calibri"/>
            <family val="2"/>
            <scheme val="minor"/>
          </rPr>
          <t>Introduzca la fecha prevista de adjudicación, en formato dd-mm-aaaa</t>
        </r>
      </text>
    </comment>
    <comment ref="F3899" authorId="2">
      <text/>
    </comment>
    <comment ref="F3900" authorId="2">
      <text/>
    </comment>
    <comment ref="A3902" authorId="2">
      <text>
        <r>
          <rPr>
            <sz val="11"/>
            <color theme="1"/>
            <rFont val="Calibri"/>
            <family val="2"/>
            <scheme val="minor"/>
          </rPr>
          <t>Introduzca un codigo UNSPSC</t>
        </r>
      </text>
    </comment>
    <comment ref="B3902" authorId="2">
      <text>
        <r>
          <rPr>
            <sz val="11"/>
            <color theme="1"/>
            <rFont val="Calibri"/>
            <family val="2"/>
            <scheme val="minor"/>
          </rPr>
          <t>Descripción calculada automáticamente a partir de código del artículo</t>
        </r>
      </text>
    </comment>
    <comment ref="C3902" authorId="2">
      <text>
        <r>
          <rPr>
            <sz val="11"/>
            <color theme="1"/>
            <rFont val="Calibri"/>
            <family val="2"/>
            <scheme val="minor"/>
          </rPr>
          <t>Seleccione un valor de la lista</t>
        </r>
      </text>
    </comment>
    <comment ref="D3902" authorId="2">
      <text>
        <r>
          <rPr>
            <sz val="11"/>
            <color theme="1"/>
            <rFont val="Calibri"/>
            <family val="2"/>
            <scheme val="minor"/>
          </rPr>
          <t>Introduzca un número con dos decimales como máximo. Debe ser igual o mayor a la "Cantidad Real Consumida"</t>
        </r>
      </text>
    </comment>
    <comment ref="E3902" authorId="2">
      <text>
        <r>
          <rPr>
            <sz val="11"/>
            <color theme="1"/>
            <rFont val="Calibri"/>
            <family val="2"/>
            <scheme val="minor"/>
          </rPr>
          <t>Introduzca un número con dos decimales como máximo</t>
        </r>
      </text>
    </comment>
    <comment ref="F3902" authorId="2">
      <text>
        <r>
          <rPr>
            <sz val="11"/>
            <color theme="1"/>
            <rFont val="Calibri"/>
            <family val="2"/>
            <scheme val="minor"/>
          </rPr>
          <t>Monto calculado automáticamente por el sistema</t>
        </r>
      </text>
    </comment>
    <comment ref="A3907" authorId="2">
      <text>
        <r>
          <rPr>
            <sz val="11"/>
            <color theme="1"/>
            <rFont val="Calibri"/>
            <family val="2"/>
            <scheme val="minor"/>
          </rPr>
          <t>Introducir un texto con el nombre o referencia de la contratación</t>
        </r>
      </text>
    </comment>
    <comment ref="B3907" authorId="2">
      <text>
        <r>
          <rPr>
            <sz val="11"/>
            <color theme="1"/>
            <rFont val="Calibri"/>
            <family val="2"/>
            <scheme val="minor"/>
          </rPr>
          <t>Introduzca un texto con la finalidad de la contratación</t>
        </r>
      </text>
    </comment>
    <comment ref="C3907" authorId="2">
      <text>
        <r>
          <rPr>
            <sz val="11"/>
            <color theme="1"/>
            <rFont val="Calibri"/>
            <family val="2"/>
            <scheme val="minor"/>
          </rPr>
          <t>Seleccionar un valor del listado</t>
        </r>
      </text>
    </comment>
    <comment ref="D3907" authorId="2">
      <text>
        <r>
          <rPr>
            <sz val="11"/>
            <color theme="1"/>
            <rFont val="Calibri"/>
            <family val="2"/>
            <scheme val="minor"/>
          </rPr>
          <t>Seleccione el tipo de procedimiento</t>
        </r>
      </text>
    </comment>
    <comment ref="E3907" authorId="2">
      <text>
        <r>
          <rPr>
            <sz val="11"/>
            <color theme="1"/>
            <rFont val="Calibri"/>
            <family val="2"/>
            <scheme val="minor"/>
          </rPr>
          <t>Seleccione un valor de la lista</t>
        </r>
      </text>
    </comment>
    <comment ref="F3907" authorId="2">
      <text>
        <r>
          <rPr>
            <sz val="11"/>
            <color theme="1"/>
            <rFont val="Calibri"/>
            <family val="2"/>
            <scheme val="minor"/>
          </rPr>
          <t>Introduzca el código SNIP</t>
        </r>
      </text>
    </comment>
    <comment ref="C3908" authorId="2">
      <text>
        <r>
          <rPr>
            <sz val="11"/>
            <color theme="1"/>
            <rFont val="Calibri"/>
            <family val="2"/>
            <scheme val="minor"/>
          </rPr>
          <t>Introduzca la fecha de inicio del proceso, en formato dd-mm-aaaa</t>
        </r>
      </text>
    </comment>
    <comment ref="F39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9" authorId="2">
      <text/>
    </comment>
    <comment ref="C3910" authorId="2">
      <text>
        <r>
          <rPr>
            <sz val="11"/>
            <color theme="1"/>
            <rFont val="Calibri"/>
            <family val="2"/>
            <scheme val="minor"/>
          </rPr>
          <t>Introduzca la fecha prevista de adjudicación, en formato dd-mm-aaaa</t>
        </r>
      </text>
    </comment>
    <comment ref="F3910" authorId="2">
      <text/>
    </comment>
    <comment ref="F3911" authorId="2">
      <text/>
    </comment>
    <comment ref="A3913" authorId="2">
      <text>
        <r>
          <rPr>
            <sz val="11"/>
            <color theme="1"/>
            <rFont val="Calibri"/>
            <family val="2"/>
            <scheme val="minor"/>
          </rPr>
          <t>Introduzca un codigo UNSPSC</t>
        </r>
      </text>
    </comment>
    <comment ref="B3913" authorId="2">
      <text>
        <r>
          <rPr>
            <sz val="11"/>
            <color theme="1"/>
            <rFont val="Calibri"/>
            <family val="2"/>
            <scheme val="minor"/>
          </rPr>
          <t>Descripción calculada automáticamente a partir de código del artículo</t>
        </r>
      </text>
    </comment>
    <comment ref="C3913" authorId="2">
      <text>
        <r>
          <rPr>
            <sz val="11"/>
            <color theme="1"/>
            <rFont val="Calibri"/>
            <family val="2"/>
            <scheme val="minor"/>
          </rPr>
          <t>Seleccione un valor de la lista</t>
        </r>
      </text>
    </comment>
    <comment ref="D3913" authorId="2">
      <text>
        <r>
          <rPr>
            <sz val="11"/>
            <color theme="1"/>
            <rFont val="Calibri"/>
            <family val="2"/>
            <scheme val="minor"/>
          </rPr>
          <t>Introduzca un número con dos decimales como máximo. Debe ser igual o mayor a la "Cantidad Real Consumida"</t>
        </r>
      </text>
    </comment>
    <comment ref="E3913" authorId="2">
      <text>
        <r>
          <rPr>
            <sz val="11"/>
            <color theme="1"/>
            <rFont val="Calibri"/>
            <family val="2"/>
            <scheme val="minor"/>
          </rPr>
          <t>Introduzca un número con dos decimales como máximo</t>
        </r>
      </text>
    </comment>
    <comment ref="F3913" authorId="2">
      <text>
        <r>
          <rPr>
            <sz val="11"/>
            <color theme="1"/>
            <rFont val="Calibri"/>
            <family val="2"/>
            <scheme val="minor"/>
          </rPr>
          <t>Monto calculado automáticamente por el sistema</t>
        </r>
      </text>
    </comment>
    <comment ref="A3935" authorId="2">
      <text>
        <r>
          <rPr>
            <sz val="11"/>
            <color theme="1"/>
            <rFont val="Calibri"/>
            <family val="2"/>
            <scheme val="minor"/>
          </rPr>
          <t>Introducir un texto con el nombre o referencia de la contratación</t>
        </r>
      </text>
    </comment>
    <comment ref="B3935" authorId="2">
      <text>
        <r>
          <rPr>
            <sz val="11"/>
            <color theme="1"/>
            <rFont val="Calibri"/>
            <family val="2"/>
            <scheme val="minor"/>
          </rPr>
          <t>Introduzca un texto con la finalidad de la contratación</t>
        </r>
      </text>
    </comment>
    <comment ref="C3935" authorId="2">
      <text>
        <r>
          <rPr>
            <sz val="11"/>
            <color theme="1"/>
            <rFont val="Calibri"/>
            <family val="2"/>
            <scheme val="minor"/>
          </rPr>
          <t>Seleccionar un valor del listado</t>
        </r>
      </text>
    </comment>
    <comment ref="D3935" authorId="2">
      <text>
        <r>
          <rPr>
            <sz val="11"/>
            <color theme="1"/>
            <rFont val="Calibri"/>
            <family val="2"/>
            <scheme val="minor"/>
          </rPr>
          <t>Seleccione el tipo de procedimiento</t>
        </r>
      </text>
    </comment>
    <comment ref="E3935" authorId="2">
      <text>
        <r>
          <rPr>
            <sz val="11"/>
            <color theme="1"/>
            <rFont val="Calibri"/>
            <family val="2"/>
            <scheme val="minor"/>
          </rPr>
          <t>Seleccione un valor de la lista</t>
        </r>
      </text>
    </comment>
    <comment ref="F3935" authorId="2">
      <text>
        <r>
          <rPr>
            <sz val="11"/>
            <color theme="1"/>
            <rFont val="Calibri"/>
            <family val="2"/>
            <scheme val="minor"/>
          </rPr>
          <t>Introduzca el código SNIP</t>
        </r>
      </text>
    </comment>
    <comment ref="C3936" authorId="2">
      <text>
        <r>
          <rPr>
            <sz val="11"/>
            <color theme="1"/>
            <rFont val="Calibri"/>
            <family val="2"/>
            <scheme val="minor"/>
          </rPr>
          <t>Introduzca la fecha de inicio del proceso, en formato dd-mm-aaaa</t>
        </r>
      </text>
    </comment>
    <comment ref="F39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7" authorId="2">
      <text/>
    </comment>
    <comment ref="C3938" authorId="2">
      <text>
        <r>
          <rPr>
            <sz val="11"/>
            <color theme="1"/>
            <rFont val="Calibri"/>
            <family val="2"/>
            <scheme val="minor"/>
          </rPr>
          <t>Introduzca la fecha prevista de adjudicación, en formato dd-mm-aaaa</t>
        </r>
      </text>
    </comment>
    <comment ref="F3938" authorId="2">
      <text/>
    </comment>
    <comment ref="F3939" authorId="2">
      <text/>
    </comment>
    <comment ref="A3941" authorId="2">
      <text>
        <r>
          <rPr>
            <sz val="11"/>
            <color theme="1"/>
            <rFont val="Calibri"/>
            <family val="2"/>
            <scheme val="minor"/>
          </rPr>
          <t>Introduzca un codigo UNSPSC</t>
        </r>
      </text>
    </comment>
    <comment ref="B3941" authorId="2">
      <text>
        <r>
          <rPr>
            <sz val="11"/>
            <color theme="1"/>
            <rFont val="Calibri"/>
            <family val="2"/>
            <scheme val="minor"/>
          </rPr>
          <t>Descripción calculada automáticamente a partir de código del artículo</t>
        </r>
      </text>
    </comment>
    <comment ref="C3941" authorId="2">
      <text>
        <r>
          <rPr>
            <sz val="11"/>
            <color theme="1"/>
            <rFont val="Calibri"/>
            <family val="2"/>
            <scheme val="minor"/>
          </rPr>
          <t>Seleccione un valor de la lista</t>
        </r>
      </text>
    </comment>
    <comment ref="D3941" authorId="2">
      <text>
        <r>
          <rPr>
            <sz val="11"/>
            <color theme="1"/>
            <rFont val="Calibri"/>
            <family val="2"/>
            <scheme val="minor"/>
          </rPr>
          <t>Introduzca un número con dos decimales como máximo. Debe ser igual o mayor a la "Cantidad Real Consumida"</t>
        </r>
      </text>
    </comment>
    <comment ref="E3941" authorId="2">
      <text>
        <r>
          <rPr>
            <sz val="11"/>
            <color theme="1"/>
            <rFont val="Calibri"/>
            <family val="2"/>
            <scheme val="minor"/>
          </rPr>
          <t>Introduzca un número con dos decimales como máximo</t>
        </r>
      </text>
    </comment>
    <comment ref="F3941" authorId="2">
      <text>
        <r>
          <rPr>
            <sz val="11"/>
            <color theme="1"/>
            <rFont val="Calibri"/>
            <family val="2"/>
            <scheme val="minor"/>
          </rPr>
          <t>Monto calculado automáticamente por el sistema</t>
        </r>
      </text>
    </comment>
    <comment ref="A3946" authorId="2">
      <text>
        <r>
          <rPr>
            <sz val="11"/>
            <color theme="1"/>
            <rFont val="Calibri"/>
            <family val="2"/>
            <scheme val="minor"/>
          </rPr>
          <t>Introducir un texto con el nombre o referencia de la contratación</t>
        </r>
      </text>
    </comment>
    <comment ref="B3946" authorId="2">
      <text>
        <r>
          <rPr>
            <sz val="11"/>
            <color theme="1"/>
            <rFont val="Calibri"/>
            <family val="2"/>
            <scheme val="minor"/>
          </rPr>
          <t>Introduzca un texto con la finalidad de la contratación</t>
        </r>
      </text>
    </comment>
    <comment ref="C3946" authorId="2">
      <text>
        <r>
          <rPr>
            <sz val="11"/>
            <color theme="1"/>
            <rFont val="Calibri"/>
            <family val="2"/>
            <scheme val="minor"/>
          </rPr>
          <t>Seleccionar un valor del listado</t>
        </r>
      </text>
    </comment>
    <comment ref="D3946" authorId="2">
      <text>
        <r>
          <rPr>
            <sz val="11"/>
            <color theme="1"/>
            <rFont val="Calibri"/>
            <family val="2"/>
            <scheme val="minor"/>
          </rPr>
          <t>Seleccione el tipo de procedimiento</t>
        </r>
      </text>
    </comment>
    <comment ref="E3946" authorId="2">
      <text>
        <r>
          <rPr>
            <sz val="11"/>
            <color theme="1"/>
            <rFont val="Calibri"/>
            <family val="2"/>
            <scheme val="minor"/>
          </rPr>
          <t>Seleccione un valor de la lista</t>
        </r>
      </text>
    </comment>
    <comment ref="F3946" authorId="2">
      <text>
        <r>
          <rPr>
            <sz val="11"/>
            <color theme="1"/>
            <rFont val="Calibri"/>
            <family val="2"/>
            <scheme val="minor"/>
          </rPr>
          <t>Introduzca el código SNIP</t>
        </r>
      </text>
    </comment>
    <comment ref="C3947" authorId="2">
      <text>
        <r>
          <rPr>
            <sz val="11"/>
            <color theme="1"/>
            <rFont val="Calibri"/>
            <family val="2"/>
            <scheme val="minor"/>
          </rPr>
          <t>Introduzca la fecha de inicio del proceso, en formato dd-mm-aaaa</t>
        </r>
      </text>
    </comment>
    <comment ref="F39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8" authorId="2">
      <text/>
    </comment>
    <comment ref="C3949" authorId="2">
      <text>
        <r>
          <rPr>
            <sz val="11"/>
            <color theme="1"/>
            <rFont val="Calibri"/>
            <family val="2"/>
            <scheme val="minor"/>
          </rPr>
          <t>Introduzca la fecha prevista de adjudicación, en formato dd-mm-aaaa</t>
        </r>
      </text>
    </comment>
    <comment ref="F3949" authorId="2">
      <text/>
    </comment>
    <comment ref="F3950" authorId="2">
      <text/>
    </comment>
    <comment ref="A3952" authorId="2">
      <text>
        <r>
          <rPr>
            <sz val="11"/>
            <color theme="1"/>
            <rFont val="Calibri"/>
            <family val="2"/>
            <scheme val="minor"/>
          </rPr>
          <t>Introduzca un codigo UNSPSC</t>
        </r>
      </text>
    </comment>
    <comment ref="B3952" authorId="2">
      <text>
        <r>
          <rPr>
            <sz val="11"/>
            <color theme="1"/>
            <rFont val="Calibri"/>
            <family val="2"/>
            <scheme val="minor"/>
          </rPr>
          <t>Descripción calculada automáticamente a partir de código del artículo</t>
        </r>
      </text>
    </comment>
    <comment ref="C3952" authorId="2">
      <text>
        <r>
          <rPr>
            <sz val="11"/>
            <color theme="1"/>
            <rFont val="Calibri"/>
            <family val="2"/>
            <scheme val="minor"/>
          </rPr>
          <t>Seleccione un valor de la lista</t>
        </r>
      </text>
    </comment>
    <comment ref="D3952" authorId="2">
      <text>
        <r>
          <rPr>
            <sz val="11"/>
            <color theme="1"/>
            <rFont val="Calibri"/>
            <family val="2"/>
            <scheme val="minor"/>
          </rPr>
          <t>Introduzca un número con dos decimales como máximo. Debe ser igual o mayor a la "Cantidad Real Consumida"</t>
        </r>
      </text>
    </comment>
    <comment ref="E3952" authorId="2">
      <text>
        <r>
          <rPr>
            <sz val="11"/>
            <color theme="1"/>
            <rFont val="Calibri"/>
            <family val="2"/>
            <scheme val="minor"/>
          </rPr>
          <t>Introduzca un número con dos decimales como máximo</t>
        </r>
      </text>
    </comment>
    <comment ref="F3952" authorId="2">
      <text>
        <r>
          <rPr>
            <sz val="11"/>
            <color theme="1"/>
            <rFont val="Calibri"/>
            <family val="2"/>
            <scheme val="minor"/>
          </rPr>
          <t>Monto calculado automáticamente por el sistema</t>
        </r>
      </text>
    </comment>
    <comment ref="A3959" authorId="2">
      <text>
        <r>
          <rPr>
            <sz val="11"/>
            <color theme="1"/>
            <rFont val="Calibri"/>
            <family val="2"/>
            <scheme val="minor"/>
          </rPr>
          <t>Introducir un texto con el nombre o referencia de la contratación</t>
        </r>
      </text>
    </comment>
    <comment ref="B3959" authorId="2">
      <text>
        <r>
          <rPr>
            <sz val="11"/>
            <color theme="1"/>
            <rFont val="Calibri"/>
            <family val="2"/>
            <scheme val="minor"/>
          </rPr>
          <t>Introduzca un texto con la finalidad de la contratación</t>
        </r>
      </text>
    </comment>
    <comment ref="C3959" authorId="2">
      <text>
        <r>
          <rPr>
            <sz val="11"/>
            <color theme="1"/>
            <rFont val="Calibri"/>
            <family val="2"/>
            <scheme val="minor"/>
          </rPr>
          <t>Seleccionar un valor del listado</t>
        </r>
      </text>
    </comment>
    <comment ref="D3959" authorId="2">
      <text>
        <r>
          <rPr>
            <sz val="11"/>
            <color theme="1"/>
            <rFont val="Calibri"/>
            <family val="2"/>
            <scheme val="minor"/>
          </rPr>
          <t>Seleccione el tipo de procedimiento</t>
        </r>
      </text>
    </comment>
    <comment ref="E3959" authorId="2">
      <text>
        <r>
          <rPr>
            <sz val="11"/>
            <color theme="1"/>
            <rFont val="Calibri"/>
            <family val="2"/>
            <scheme val="minor"/>
          </rPr>
          <t>Seleccione un valor de la lista</t>
        </r>
      </text>
    </comment>
    <comment ref="F3959" authorId="2">
      <text>
        <r>
          <rPr>
            <sz val="11"/>
            <color theme="1"/>
            <rFont val="Calibri"/>
            <family val="2"/>
            <scheme val="minor"/>
          </rPr>
          <t>Introduzca el código SNIP</t>
        </r>
      </text>
    </comment>
    <comment ref="C3960" authorId="2">
      <text>
        <r>
          <rPr>
            <sz val="11"/>
            <color theme="1"/>
            <rFont val="Calibri"/>
            <family val="2"/>
            <scheme val="minor"/>
          </rPr>
          <t>Introduzca la fecha de inicio del proceso, en formato dd-mm-aaaa</t>
        </r>
      </text>
    </comment>
    <comment ref="F39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1" authorId="2">
      <text/>
    </comment>
    <comment ref="C3962" authorId="2">
      <text>
        <r>
          <rPr>
            <sz val="11"/>
            <color theme="1"/>
            <rFont val="Calibri"/>
            <family val="2"/>
            <scheme val="minor"/>
          </rPr>
          <t>Introduzca la fecha prevista de adjudicación, en formato dd-mm-aaaa</t>
        </r>
      </text>
    </comment>
    <comment ref="F3962" authorId="2">
      <text/>
    </comment>
    <comment ref="F3963" authorId="2">
      <text/>
    </comment>
    <comment ref="A3965" authorId="2">
      <text>
        <r>
          <rPr>
            <sz val="11"/>
            <color theme="1"/>
            <rFont val="Calibri"/>
            <family val="2"/>
            <scheme val="minor"/>
          </rPr>
          <t>Introduzca un codigo UNSPSC</t>
        </r>
      </text>
    </comment>
    <comment ref="B3965" authorId="2">
      <text>
        <r>
          <rPr>
            <sz val="11"/>
            <color theme="1"/>
            <rFont val="Calibri"/>
            <family val="2"/>
            <scheme val="minor"/>
          </rPr>
          <t>Descripción calculada automáticamente a partir de código del artículo</t>
        </r>
      </text>
    </comment>
    <comment ref="C3965" authorId="2">
      <text>
        <r>
          <rPr>
            <sz val="11"/>
            <color theme="1"/>
            <rFont val="Calibri"/>
            <family val="2"/>
            <scheme val="minor"/>
          </rPr>
          <t>Seleccione un valor de la lista</t>
        </r>
      </text>
    </comment>
    <comment ref="D3965" authorId="2">
      <text>
        <r>
          <rPr>
            <sz val="11"/>
            <color theme="1"/>
            <rFont val="Calibri"/>
            <family val="2"/>
            <scheme val="minor"/>
          </rPr>
          <t>Introduzca un número con dos decimales como máximo. Debe ser igual o mayor a la "Cantidad Real Consumida"</t>
        </r>
      </text>
    </comment>
    <comment ref="E3965" authorId="2">
      <text>
        <r>
          <rPr>
            <sz val="11"/>
            <color theme="1"/>
            <rFont val="Calibri"/>
            <family val="2"/>
            <scheme val="minor"/>
          </rPr>
          <t>Introduzca un número con dos decimales como máximo</t>
        </r>
      </text>
    </comment>
    <comment ref="F3965" authorId="2">
      <text>
        <r>
          <rPr>
            <sz val="11"/>
            <color theme="1"/>
            <rFont val="Calibri"/>
            <family val="2"/>
            <scheme val="minor"/>
          </rPr>
          <t>Monto calculado automáticamente por el sistema</t>
        </r>
      </text>
    </comment>
    <comment ref="A3971" authorId="2">
      <text>
        <r>
          <rPr>
            <sz val="11"/>
            <color theme="1"/>
            <rFont val="Calibri"/>
            <family val="2"/>
            <scheme val="minor"/>
          </rPr>
          <t>Introducir un texto con el nombre o referencia de la contratación</t>
        </r>
      </text>
    </comment>
    <comment ref="B3971" authorId="2">
      <text>
        <r>
          <rPr>
            <sz val="11"/>
            <color theme="1"/>
            <rFont val="Calibri"/>
            <family val="2"/>
            <scheme val="minor"/>
          </rPr>
          <t>Introduzca un texto con la finalidad de la contratación</t>
        </r>
      </text>
    </comment>
    <comment ref="C3971" authorId="2">
      <text>
        <r>
          <rPr>
            <sz val="11"/>
            <color theme="1"/>
            <rFont val="Calibri"/>
            <family val="2"/>
            <scheme val="minor"/>
          </rPr>
          <t>Seleccionar un valor del listado</t>
        </r>
      </text>
    </comment>
    <comment ref="D3971" authorId="2">
      <text>
        <r>
          <rPr>
            <sz val="11"/>
            <color theme="1"/>
            <rFont val="Calibri"/>
            <family val="2"/>
            <scheme val="minor"/>
          </rPr>
          <t>Seleccione el tipo de procedimiento</t>
        </r>
      </text>
    </comment>
    <comment ref="E3971" authorId="2">
      <text>
        <r>
          <rPr>
            <sz val="11"/>
            <color theme="1"/>
            <rFont val="Calibri"/>
            <family val="2"/>
            <scheme val="minor"/>
          </rPr>
          <t>Seleccione un valor de la lista</t>
        </r>
      </text>
    </comment>
    <comment ref="F3971" authorId="2">
      <text>
        <r>
          <rPr>
            <sz val="11"/>
            <color theme="1"/>
            <rFont val="Calibri"/>
            <family val="2"/>
            <scheme val="minor"/>
          </rPr>
          <t>Introduzca el código SNIP</t>
        </r>
      </text>
    </comment>
    <comment ref="C3972" authorId="2">
      <text>
        <r>
          <rPr>
            <sz val="11"/>
            <color theme="1"/>
            <rFont val="Calibri"/>
            <family val="2"/>
            <scheme val="minor"/>
          </rPr>
          <t>Introduzca la fecha de inicio del proceso, en formato dd-mm-aaaa</t>
        </r>
      </text>
    </comment>
    <comment ref="F39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3" authorId="2">
      <text/>
    </comment>
    <comment ref="C3974" authorId="2">
      <text>
        <r>
          <rPr>
            <sz val="11"/>
            <color theme="1"/>
            <rFont val="Calibri"/>
            <family val="2"/>
            <scheme val="minor"/>
          </rPr>
          <t>Introduzca la fecha prevista de adjudicación, en formato dd-mm-aaaa</t>
        </r>
      </text>
    </comment>
    <comment ref="F3974" authorId="2">
      <text/>
    </comment>
    <comment ref="F3975" authorId="2">
      <text/>
    </comment>
    <comment ref="A3977" authorId="2">
      <text>
        <r>
          <rPr>
            <sz val="11"/>
            <color theme="1"/>
            <rFont val="Calibri"/>
            <family val="2"/>
            <scheme val="minor"/>
          </rPr>
          <t>Introduzca un codigo UNSPSC</t>
        </r>
      </text>
    </comment>
    <comment ref="B3977" authorId="2">
      <text>
        <r>
          <rPr>
            <sz val="11"/>
            <color theme="1"/>
            <rFont val="Calibri"/>
            <family val="2"/>
            <scheme val="minor"/>
          </rPr>
          <t>Descripción calculada automáticamente a partir de código del artículo</t>
        </r>
      </text>
    </comment>
    <comment ref="C3977" authorId="2">
      <text>
        <r>
          <rPr>
            <sz val="11"/>
            <color theme="1"/>
            <rFont val="Calibri"/>
            <family val="2"/>
            <scheme val="minor"/>
          </rPr>
          <t>Seleccione un valor de la lista</t>
        </r>
      </text>
    </comment>
    <comment ref="D3977" authorId="2">
      <text>
        <r>
          <rPr>
            <sz val="11"/>
            <color theme="1"/>
            <rFont val="Calibri"/>
            <family val="2"/>
            <scheme val="minor"/>
          </rPr>
          <t>Introduzca un número con dos decimales como máximo. Debe ser igual o mayor a la "Cantidad Real Consumida"</t>
        </r>
      </text>
    </comment>
    <comment ref="E3977" authorId="2">
      <text>
        <r>
          <rPr>
            <sz val="11"/>
            <color theme="1"/>
            <rFont val="Calibri"/>
            <family val="2"/>
            <scheme val="minor"/>
          </rPr>
          <t>Introduzca un número con dos decimales como máximo</t>
        </r>
      </text>
    </comment>
    <comment ref="F3977" authorId="2">
      <text>
        <r>
          <rPr>
            <sz val="11"/>
            <color theme="1"/>
            <rFont val="Calibri"/>
            <family val="2"/>
            <scheme val="minor"/>
          </rPr>
          <t>Monto calculado automáticamente por el sistema</t>
        </r>
      </text>
    </comment>
    <comment ref="A3982" authorId="2">
      <text>
        <r>
          <rPr>
            <sz val="11"/>
            <color theme="1"/>
            <rFont val="Calibri"/>
            <family val="2"/>
            <scheme val="minor"/>
          </rPr>
          <t>Introducir un texto con el nombre o referencia de la contratación</t>
        </r>
      </text>
    </comment>
    <comment ref="B3982" authorId="2">
      <text>
        <r>
          <rPr>
            <sz val="11"/>
            <color theme="1"/>
            <rFont val="Calibri"/>
            <family val="2"/>
            <scheme val="minor"/>
          </rPr>
          <t>Introduzca un texto con la finalidad de la contratación</t>
        </r>
      </text>
    </comment>
    <comment ref="C3982" authorId="2">
      <text>
        <r>
          <rPr>
            <sz val="11"/>
            <color theme="1"/>
            <rFont val="Calibri"/>
            <family val="2"/>
            <scheme val="minor"/>
          </rPr>
          <t>Seleccionar un valor del listado</t>
        </r>
      </text>
    </comment>
    <comment ref="D3982" authorId="2">
      <text>
        <r>
          <rPr>
            <sz val="11"/>
            <color theme="1"/>
            <rFont val="Calibri"/>
            <family val="2"/>
            <scheme val="minor"/>
          </rPr>
          <t>Seleccione el tipo de procedimiento</t>
        </r>
      </text>
    </comment>
    <comment ref="E3982" authorId="2">
      <text>
        <r>
          <rPr>
            <sz val="11"/>
            <color theme="1"/>
            <rFont val="Calibri"/>
            <family val="2"/>
            <scheme val="minor"/>
          </rPr>
          <t>Seleccione un valor de la lista</t>
        </r>
      </text>
    </comment>
    <comment ref="F3982" authorId="2">
      <text>
        <r>
          <rPr>
            <sz val="11"/>
            <color theme="1"/>
            <rFont val="Calibri"/>
            <family val="2"/>
            <scheme val="minor"/>
          </rPr>
          <t>Introduzca el código SNIP</t>
        </r>
      </text>
    </comment>
    <comment ref="C3983" authorId="2">
      <text>
        <r>
          <rPr>
            <sz val="11"/>
            <color theme="1"/>
            <rFont val="Calibri"/>
            <family val="2"/>
            <scheme val="minor"/>
          </rPr>
          <t>Introduzca la fecha de inicio del proceso, en formato dd-mm-aaaa</t>
        </r>
      </text>
    </comment>
    <comment ref="F39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4" authorId="2">
      <text/>
    </comment>
    <comment ref="C3985" authorId="2">
      <text>
        <r>
          <rPr>
            <sz val="11"/>
            <color theme="1"/>
            <rFont val="Calibri"/>
            <family val="2"/>
            <scheme val="minor"/>
          </rPr>
          <t>Introduzca la fecha prevista de adjudicación, en formato dd-mm-aaaa</t>
        </r>
      </text>
    </comment>
    <comment ref="F3985" authorId="2">
      <text/>
    </comment>
    <comment ref="F3986" authorId="2">
      <text/>
    </comment>
    <comment ref="A3988" authorId="2">
      <text>
        <r>
          <rPr>
            <sz val="11"/>
            <color theme="1"/>
            <rFont val="Calibri"/>
            <family val="2"/>
            <scheme val="minor"/>
          </rPr>
          <t>Introduzca un codigo UNSPSC</t>
        </r>
      </text>
    </comment>
    <comment ref="B3988" authorId="2">
      <text>
        <r>
          <rPr>
            <sz val="11"/>
            <color theme="1"/>
            <rFont val="Calibri"/>
            <family val="2"/>
            <scheme val="minor"/>
          </rPr>
          <t>Descripción calculada automáticamente a partir de código del artículo</t>
        </r>
      </text>
    </comment>
    <comment ref="C3988" authorId="2">
      <text>
        <r>
          <rPr>
            <sz val="11"/>
            <color theme="1"/>
            <rFont val="Calibri"/>
            <family val="2"/>
            <scheme val="minor"/>
          </rPr>
          <t>Seleccione un valor de la lista</t>
        </r>
      </text>
    </comment>
    <comment ref="D3988" authorId="2">
      <text>
        <r>
          <rPr>
            <sz val="11"/>
            <color theme="1"/>
            <rFont val="Calibri"/>
            <family val="2"/>
            <scheme val="minor"/>
          </rPr>
          <t>Introduzca un número con dos decimales como máximo. Debe ser igual o mayor a la "Cantidad Real Consumida"</t>
        </r>
      </text>
    </comment>
    <comment ref="E3988" authorId="2">
      <text>
        <r>
          <rPr>
            <sz val="11"/>
            <color theme="1"/>
            <rFont val="Calibri"/>
            <family val="2"/>
            <scheme val="minor"/>
          </rPr>
          <t>Introduzca un número con dos decimales como máximo</t>
        </r>
      </text>
    </comment>
    <comment ref="F3988" authorId="2">
      <text>
        <r>
          <rPr>
            <sz val="11"/>
            <color theme="1"/>
            <rFont val="Calibri"/>
            <family val="2"/>
            <scheme val="minor"/>
          </rPr>
          <t>Monto calculado automáticamente por el sistema</t>
        </r>
      </text>
    </comment>
    <comment ref="A4051" authorId="2">
      <text>
        <r>
          <rPr>
            <sz val="11"/>
            <color theme="1"/>
            <rFont val="Calibri"/>
            <family val="2"/>
            <scheme val="minor"/>
          </rPr>
          <t>Introducir un texto con el nombre o referencia de la contratación</t>
        </r>
      </text>
    </comment>
    <comment ref="B4051" authorId="2">
      <text>
        <r>
          <rPr>
            <sz val="11"/>
            <color theme="1"/>
            <rFont val="Calibri"/>
            <family val="2"/>
            <scheme val="minor"/>
          </rPr>
          <t>Introduzca un texto con la finalidad de la contratación</t>
        </r>
      </text>
    </comment>
    <comment ref="C4051" authorId="2">
      <text>
        <r>
          <rPr>
            <sz val="11"/>
            <color theme="1"/>
            <rFont val="Calibri"/>
            <family val="2"/>
            <scheme val="minor"/>
          </rPr>
          <t>Seleccionar un valor del listado</t>
        </r>
      </text>
    </comment>
    <comment ref="D4051" authorId="2">
      <text>
        <r>
          <rPr>
            <sz val="11"/>
            <color theme="1"/>
            <rFont val="Calibri"/>
            <family val="2"/>
            <scheme val="minor"/>
          </rPr>
          <t>Seleccione el tipo de procedimiento</t>
        </r>
      </text>
    </comment>
    <comment ref="E4051" authorId="2">
      <text>
        <r>
          <rPr>
            <sz val="11"/>
            <color theme="1"/>
            <rFont val="Calibri"/>
            <family val="2"/>
            <scheme val="minor"/>
          </rPr>
          <t>Seleccione un valor de la lista</t>
        </r>
      </text>
    </comment>
    <comment ref="F4051" authorId="2">
      <text>
        <r>
          <rPr>
            <sz val="11"/>
            <color theme="1"/>
            <rFont val="Calibri"/>
            <family val="2"/>
            <scheme val="minor"/>
          </rPr>
          <t>Introduzca el código SNIP</t>
        </r>
      </text>
    </comment>
    <comment ref="C4052" authorId="2">
      <text>
        <r>
          <rPr>
            <sz val="11"/>
            <color theme="1"/>
            <rFont val="Calibri"/>
            <family val="2"/>
            <scheme val="minor"/>
          </rPr>
          <t>Introduzca la fecha de inicio del proceso, en formato dd-mm-aaaa</t>
        </r>
      </text>
    </comment>
    <comment ref="F405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3" authorId="2">
      <text/>
    </comment>
    <comment ref="C4054" authorId="2">
      <text>
        <r>
          <rPr>
            <sz val="11"/>
            <color theme="1"/>
            <rFont val="Calibri"/>
            <family val="2"/>
            <scheme val="minor"/>
          </rPr>
          <t>Introduzca la fecha prevista de adjudicación, en formato dd-mm-aaaa</t>
        </r>
      </text>
    </comment>
    <comment ref="F4054" authorId="2">
      <text/>
    </comment>
    <comment ref="F4055" authorId="2">
      <text/>
    </comment>
    <comment ref="A4057" authorId="2">
      <text>
        <r>
          <rPr>
            <sz val="11"/>
            <color theme="1"/>
            <rFont val="Calibri"/>
            <family val="2"/>
            <scheme val="minor"/>
          </rPr>
          <t>Introduzca un codigo UNSPSC</t>
        </r>
      </text>
    </comment>
    <comment ref="B4057" authorId="2">
      <text>
        <r>
          <rPr>
            <sz val="11"/>
            <color theme="1"/>
            <rFont val="Calibri"/>
            <family val="2"/>
            <scheme val="minor"/>
          </rPr>
          <t>Descripción calculada automáticamente a partir de código del artículo</t>
        </r>
      </text>
    </comment>
    <comment ref="C4057" authorId="2">
      <text>
        <r>
          <rPr>
            <sz val="11"/>
            <color theme="1"/>
            <rFont val="Calibri"/>
            <family val="2"/>
            <scheme val="minor"/>
          </rPr>
          <t>Seleccione un valor de la lista</t>
        </r>
      </text>
    </comment>
    <comment ref="D4057" authorId="2">
      <text>
        <r>
          <rPr>
            <sz val="11"/>
            <color theme="1"/>
            <rFont val="Calibri"/>
            <family val="2"/>
            <scheme val="minor"/>
          </rPr>
          <t>Introduzca un número con dos decimales como máximo. Debe ser igual o mayor a la "Cantidad Real Consumida"</t>
        </r>
      </text>
    </comment>
    <comment ref="E4057" authorId="2">
      <text>
        <r>
          <rPr>
            <sz val="11"/>
            <color theme="1"/>
            <rFont val="Calibri"/>
            <family val="2"/>
            <scheme val="minor"/>
          </rPr>
          <t>Introduzca un número con dos decimales como máximo</t>
        </r>
      </text>
    </comment>
    <comment ref="F4057" authorId="2">
      <text>
        <r>
          <rPr>
            <sz val="11"/>
            <color theme="1"/>
            <rFont val="Calibri"/>
            <family val="2"/>
            <scheme val="minor"/>
          </rPr>
          <t>Monto calculado automáticamente por el sistema</t>
        </r>
      </text>
    </comment>
    <comment ref="A4074" authorId="2">
      <text>
        <r>
          <rPr>
            <sz val="11"/>
            <color theme="1"/>
            <rFont val="Calibri"/>
            <family val="2"/>
            <scheme val="minor"/>
          </rPr>
          <t>Introducir un texto con el nombre o referencia de la contratación</t>
        </r>
      </text>
    </comment>
    <comment ref="B4074" authorId="2">
      <text>
        <r>
          <rPr>
            <sz val="11"/>
            <color theme="1"/>
            <rFont val="Calibri"/>
            <family val="2"/>
            <scheme val="minor"/>
          </rPr>
          <t>Introduzca un texto con la finalidad de la contratación</t>
        </r>
      </text>
    </comment>
    <comment ref="C4074" authorId="2">
      <text>
        <r>
          <rPr>
            <sz val="11"/>
            <color theme="1"/>
            <rFont val="Calibri"/>
            <family val="2"/>
            <scheme val="minor"/>
          </rPr>
          <t>Seleccionar un valor del listado</t>
        </r>
      </text>
    </comment>
    <comment ref="D4074" authorId="2">
      <text>
        <r>
          <rPr>
            <sz val="11"/>
            <color theme="1"/>
            <rFont val="Calibri"/>
            <family val="2"/>
            <scheme val="minor"/>
          </rPr>
          <t>Seleccione el tipo de procedimiento</t>
        </r>
      </text>
    </comment>
    <comment ref="E4074" authorId="2">
      <text>
        <r>
          <rPr>
            <sz val="11"/>
            <color theme="1"/>
            <rFont val="Calibri"/>
            <family val="2"/>
            <scheme val="minor"/>
          </rPr>
          <t>Seleccione un valor de la lista</t>
        </r>
      </text>
    </comment>
    <comment ref="F4074" authorId="2">
      <text>
        <r>
          <rPr>
            <sz val="11"/>
            <color theme="1"/>
            <rFont val="Calibri"/>
            <family val="2"/>
            <scheme val="minor"/>
          </rPr>
          <t>Introduzca el código SNIP</t>
        </r>
      </text>
    </comment>
    <comment ref="C4075" authorId="2">
      <text>
        <r>
          <rPr>
            <sz val="11"/>
            <color theme="1"/>
            <rFont val="Calibri"/>
            <family val="2"/>
            <scheme val="minor"/>
          </rPr>
          <t>Introduzca la fecha de inicio del proceso, en formato dd-mm-aaaa</t>
        </r>
      </text>
    </comment>
    <comment ref="F40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6" authorId="2">
      <text/>
    </comment>
    <comment ref="C4077" authorId="2">
      <text>
        <r>
          <rPr>
            <sz val="11"/>
            <color theme="1"/>
            <rFont val="Calibri"/>
            <family val="2"/>
            <scheme val="minor"/>
          </rPr>
          <t>Introduzca la fecha prevista de adjudicación, en formato dd-mm-aaaa</t>
        </r>
      </text>
    </comment>
    <comment ref="F4077" authorId="2">
      <text/>
    </comment>
    <comment ref="F4078" authorId="2">
      <text/>
    </comment>
    <comment ref="A4080" authorId="2">
      <text>
        <r>
          <rPr>
            <sz val="11"/>
            <color theme="1"/>
            <rFont val="Calibri"/>
            <family val="2"/>
            <scheme val="minor"/>
          </rPr>
          <t>Introduzca un codigo UNSPSC</t>
        </r>
      </text>
    </comment>
    <comment ref="B4080" authorId="2">
      <text>
        <r>
          <rPr>
            <sz val="11"/>
            <color theme="1"/>
            <rFont val="Calibri"/>
            <family val="2"/>
            <scheme val="minor"/>
          </rPr>
          <t>Descripción calculada automáticamente a partir de código del artículo</t>
        </r>
      </text>
    </comment>
    <comment ref="C4080" authorId="2">
      <text>
        <r>
          <rPr>
            <sz val="11"/>
            <color theme="1"/>
            <rFont val="Calibri"/>
            <family val="2"/>
            <scheme val="minor"/>
          </rPr>
          <t>Seleccione un valor de la lista</t>
        </r>
      </text>
    </comment>
    <comment ref="D4080" authorId="2">
      <text>
        <r>
          <rPr>
            <sz val="11"/>
            <color theme="1"/>
            <rFont val="Calibri"/>
            <family val="2"/>
            <scheme val="minor"/>
          </rPr>
          <t>Introduzca un número con dos decimales como máximo. Debe ser igual o mayor a la "Cantidad Real Consumida"</t>
        </r>
      </text>
    </comment>
    <comment ref="E4080" authorId="2">
      <text>
        <r>
          <rPr>
            <sz val="11"/>
            <color theme="1"/>
            <rFont val="Calibri"/>
            <family val="2"/>
            <scheme val="minor"/>
          </rPr>
          <t>Introduzca un número con dos decimales como máximo</t>
        </r>
      </text>
    </comment>
    <comment ref="F4080" authorId="2">
      <text>
        <r>
          <rPr>
            <sz val="11"/>
            <color theme="1"/>
            <rFont val="Calibri"/>
            <family val="2"/>
            <scheme val="minor"/>
          </rPr>
          <t>Monto calculado automáticamente por el sistema</t>
        </r>
      </text>
    </comment>
    <comment ref="A4086" authorId="2">
      <text>
        <r>
          <rPr>
            <sz val="11"/>
            <color theme="1"/>
            <rFont val="Calibri"/>
            <family val="2"/>
            <scheme val="minor"/>
          </rPr>
          <t>Introducir un texto con el nombre o referencia de la contratación</t>
        </r>
      </text>
    </comment>
    <comment ref="B4086" authorId="2">
      <text>
        <r>
          <rPr>
            <sz val="11"/>
            <color theme="1"/>
            <rFont val="Calibri"/>
            <family val="2"/>
            <scheme val="minor"/>
          </rPr>
          <t>Introduzca un texto con la finalidad de la contratación</t>
        </r>
      </text>
    </comment>
    <comment ref="C4086" authorId="2">
      <text>
        <r>
          <rPr>
            <sz val="11"/>
            <color theme="1"/>
            <rFont val="Calibri"/>
            <family val="2"/>
            <scheme val="minor"/>
          </rPr>
          <t>Seleccionar un valor del listado</t>
        </r>
      </text>
    </comment>
    <comment ref="D4086" authorId="2">
      <text>
        <r>
          <rPr>
            <sz val="11"/>
            <color theme="1"/>
            <rFont val="Calibri"/>
            <family val="2"/>
            <scheme val="minor"/>
          </rPr>
          <t>Seleccione el tipo de procedimiento</t>
        </r>
      </text>
    </comment>
    <comment ref="E4086" authorId="2">
      <text>
        <r>
          <rPr>
            <sz val="11"/>
            <color theme="1"/>
            <rFont val="Calibri"/>
            <family val="2"/>
            <scheme val="minor"/>
          </rPr>
          <t>Seleccione un valor de la lista</t>
        </r>
      </text>
    </comment>
    <comment ref="F4086" authorId="2">
      <text>
        <r>
          <rPr>
            <sz val="11"/>
            <color theme="1"/>
            <rFont val="Calibri"/>
            <family val="2"/>
            <scheme val="minor"/>
          </rPr>
          <t>Introduzca el código SNIP</t>
        </r>
      </text>
    </comment>
    <comment ref="C4087" authorId="2">
      <text>
        <r>
          <rPr>
            <sz val="11"/>
            <color theme="1"/>
            <rFont val="Calibri"/>
            <family val="2"/>
            <scheme val="minor"/>
          </rPr>
          <t>Introduzca la fecha de inicio del proceso, en formato dd-mm-aaaa</t>
        </r>
      </text>
    </comment>
    <comment ref="F40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8" authorId="2">
      <text/>
    </comment>
    <comment ref="C4089" authorId="2">
      <text>
        <r>
          <rPr>
            <sz val="11"/>
            <color theme="1"/>
            <rFont val="Calibri"/>
            <family val="2"/>
            <scheme val="minor"/>
          </rPr>
          <t>Introduzca la fecha prevista de adjudicación, en formato dd-mm-aaaa</t>
        </r>
      </text>
    </comment>
    <comment ref="F4089" authorId="2">
      <text/>
    </comment>
    <comment ref="F4090" authorId="2">
      <text/>
    </comment>
    <comment ref="A4092" authorId="2">
      <text>
        <r>
          <rPr>
            <sz val="11"/>
            <color theme="1"/>
            <rFont val="Calibri"/>
            <family val="2"/>
            <scheme val="minor"/>
          </rPr>
          <t>Introduzca un codigo UNSPSC</t>
        </r>
      </text>
    </comment>
    <comment ref="B4092" authorId="2">
      <text>
        <r>
          <rPr>
            <sz val="11"/>
            <color theme="1"/>
            <rFont val="Calibri"/>
            <family val="2"/>
            <scheme val="minor"/>
          </rPr>
          <t>Descripción calculada automáticamente a partir de código del artículo</t>
        </r>
      </text>
    </comment>
    <comment ref="C4092" authorId="2">
      <text>
        <r>
          <rPr>
            <sz val="11"/>
            <color theme="1"/>
            <rFont val="Calibri"/>
            <family val="2"/>
            <scheme val="minor"/>
          </rPr>
          <t>Seleccione un valor de la lista</t>
        </r>
      </text>
    </comment>
    <comment ref="D4092" authorId="2">
      <text>
        <r>
          <rPr>
            <sz val="11"/>
            <color theme="1"/>
            <rFont val="Calibri"/>
            <family val="2"/>
            <scheme val="minor"/>
          </rPr>
          <t>Introduzca un número con dos decimales como máximo. Debe ser igual o mayor a la "Cantidad Real Consumida"</t>
        </r>
      </text>
    </comment>
    <comment ref="E4092" authorId="2">
      <text>
        <r>
          <rPr>
            <sz val="11"/>
            <color theme="1"/>
            <rFont val="Calibri"/>
            <family val="2"/>
            <scheme val="minor"/>
          </rPr>
          <t>Introduzca un número con dos decimales como máximo</t>
        </r>
      </text>
    </comment>
    <comment ref="F4092" authorId="2">
      <text>
        <r>
          <rPr>
            <sz val="11"/>
            <color theme="1"/>
            <rFont val="Calibri"/>
            <family val="2"/>
            <scheme val="minor"/>
          </rPr>
          <t>Monto calculado automáticamente por el sistema</t>
        </r>
      </text>
    </comment>
    <comment ref="A4099" authorId="2">
      <text>
        <r>
          <rPr>
            <sz val="11"/>
            <color theme="1"/>
            <rFont val="Calibri"/>
            <family val="2"/>
            <scheme val="minor"/>
          </rPr>
          <t>Introducir un texto con el nombre o referencia de la contratación</t>
        </r>
      </text>
    </comment>
    <comment ref="B4099" authorId="2">
      <text>
        <r>
          <rPr>
            <sz val="11"/>
            <color theme="1"/>
            <rFont val="Calibri"/>
            <family val="2"/>
            <scheme val="minor"/>
          </rPr>
          <t>Introduzca un texto con la finalidad de la contratación</t>
        </r>
      </text>
    </comment>
    <comment ref="C4099" authorId="2">
      <text>
        <r>
          <rPr>
            <sz val="11"/>
            <color theme="1"/>
            <rFont val="Calibri"/>
            <family val="2"/>
            <scheme val="minor"/>
          </rPr>
          <t>Seleccionar un valor del listado</t>
        </r>
      </text>
    </comment>
    <comment ref="D4099" authorId="2">
      <text>
        <r>
          <rPr>
            <sz val="11"/>
            <color theme="1"/>
            <rFont val="Calibri"/>
            <family val="2"/>
            <scheme val="minor"/>
          </rPr>
          <t>Seleccione el tipo de procedimiento</t>
        </r>
      </text>
    </comment>
    <comment ref="E4099" authorId="2">
      <text>
        <r>
          <rPr>
            <sz val="11"/>
            <color theme="1"/>
            <rFont val="Calibri"/>
            <family val="2"/>
            <scheme val="minor"/>
          </rPr>
          <t>Seleccione un valor de la lista</t>
        </r>
      </text>
    </comment>
    <comment ref="F4099" authorId="2">
      <text>
        <r>
          <rPr>
            <sz val="11"/>
            <color theme="1"/>
            <rFont val="Calibri"/>
            <family val="2"/>
            <scheme val="minor"/>
          </rPr>
          <t>Introduzca el código SNIP</t>
        </r>
      </text>
    </comment>
    <comment ref="C4100" authorId="2">
      <text>
        <r>
          <rPr>
            <sz val="11"/>
            <color theme="1"/>
            <rFont val="Calibri"/>
            <family val="2"/>
            <scheme val="minor"/>
          </rPr>
          <t>Introduzca la fecha de inicio del proceso, en formato dd-mm-aaaa</t>
        </r>
      </text>
    </comment>
    <comment ref="F41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1" authorId="2">
      <text/>
    </comment>
    <comment ref="C4102" authorId="2">
      <text>
        <r>
          <rPr>
            <sz val="11"/>
            <color theme="1"/>
            <rFont val="Calibri"/>
            <family val="2"/>
            <scheme val="minor"/>
          </rPr>
          <t>Introduzca la fecha prevista de adjudicación, en formato dd-mm-aaaa</t>
        </r>
      </text>
    </comment>
    <comment ref="F4102" authorId="2">
      <text/>
    </comment>
    <comment ref="F4103" authorId="2">
      <text/>
    </comment>
    <comment ref="A4105" authorId="2">
      <text>
        <r>
          <rPr>
            <sz val="11"/>
            <color theme="1"/>
            <rFont val="Calibri"/>
            <family val="2"/>
            <scheme val="minor"/>
          </rPr>
          <t>Introduzca un codigo UNSPSC</t>
        </r>
      </text>
    </comment>
    <comment ref="B4105" authorId="2">
      <text>
        <r>
          <rPr>
            <sz val="11"/>
            <color theme="1"/>
            <rFont val="Calibri"/>
            <family val="2"/>
            <scheme val="minor"/>
          </rPr>
          <t>Descripción calculada automáticamente a partir de código del artículo</t>
        </r>
      </text>
    </comment>
    <comment ref="C4105" authorId="2">
      <text>
        <r>
          <rPr>
            <sz val="11"/>
            <color theme="1"/>
            <rFont val="Calibri"/>
            <family val="2"/>
            <scheme val="minor"/>
          </rPr>
          <t>Seleccione un valor de la lista</t>
        </r>
      </text>
    </comment>
    <comment ref="D4105" authorId="2">
      <text>
        <r>
          <rPr>
            <sz val="11"/>
            <color theme="1"/>
            <rFont val="Calibri"/>
            <family val="2"/>
            <scheme val="minor"/>
          </rPr>
          <t>Introduzca un número con dos decimales como máximo. Debe ser igual o mayor a la "Cantidad Real Consumida"</t>
        </r>
      </text>
    </comment>
    <comment ref="E4105" authorId="2">
      <text>
        <r>
          <rPr>
            <sz val="11"/>
            <color theme="1"/>
            <rFont val="Calibri"/>
            <family val="2"/>
            <scheme val="minor"/>
          </rPr>
          <t>Introduzca un número con dos decimales como máximo</t>
        </r>
      </text>
    </comment>
    <comment ref="F4105" authorId="2">
      <text>
        <r>
          <rPr>
            <sz val="11"/>
            <color theme="1"/>
            <rFont val="Calibri"/>
            <family val="2"/>
            <scheme val="minor"/>
          </rPr>
          <t>Monto calculado automáticamente por el sistema</t>
        </r>
      </text>
    </comment>
    <comment ref="A4110" authorId="2">
      <text>
        <r>
          <rPr>
            <sz val="11"/>
            <color theme="1"/>
            <rFont val="Calibri"/>
            <family val="2"/>
            <scheme val="minor"/>
          </rPr>
          <t>Introducir un texto con el nombre o referencia de la contratación</t>
        </r>
      </text>
    </comment>
    <comment ref="B4110" authorId="2">
      <text>
        <r>
          <rPr>
            <sz val="11"/>
            <color theme="1"/>
            <rFont val="Calibri"/>
            <family val="2"/>
            <scheme val="minor"/>
          </rPr>
          <t>Introduzca un texto con la finalidad de la contratación</t>
        </r>
      </text>
    </comment>
    <comment ref="C4110" authorId="2">
      <text>
        <r>
          <rPr>
            <sz val="11"/>
            <color theme="1"/>
            <rFont val="Calibri"/>
            <family val="2"/>
            <scheme val="minor"/>
          </rPr>
          <t>Seleccionar un valor del listado</t>
        </r>
      </text>
    </comment>
    <comment ref="D4110" authorId="2">
      <text>
        <r>
          <rPr>
            <sz val="11"/>
            <color theme="1"/>
            <rFont val="Calibri"/>
            <family val="2"/>
            <scheme val="minor"/>
          </rPr>
          <t>Seleccione el tipo de procedimiento</t>
        </r>
      </text>
    </comment>
    <comment ref="E4110" authorId="2">
      <text>
        <r>
          <rPr>
            <sz val="11"/>
            <color theme="1"/>
            <rFont val="Calibri"/>
            <family val="2"/>
            <scheme val="minor"/>
          </rPr>
          <t>Seleccione un valor de la lista</t>
        </r>
      </text>
    </comment>
    <comment ref="F4110" authorId="2">
      <text>
        <r>
          <rPr>
            <sz val="11"/>
            <color theme="1"/>
            <rFont val="Calibri"/>
            <family val="2"/>
            <scheme val="minor"/>
          </rPr>
          <t>Introduzca el código SNIP</t>
        </r>
      </text>
    </comment>
    <comment ref="C4111" authorId="2">
      <text>
        <r>
          <rPr>
            <sz val="11"/>
            <color theme="1"/>
            <rFont val="Calibri"/>
            <family val="2"/>
            <scheme val="minor"/>
          </rPr>
          <t>Introduzca la fecha de inicio del proceso, en formato dd-mm-aaaa</t>
        </r>
      </text>
    </comment>
    <comment ref="F41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2" authorId="2">
      <text/>
    </comment>
    <comment ref="C4113" authorId="2">
      <text>
        <r>
          <rPr>
            <sz val="11"/>
            <color theme="1"/>
            <rFont val="Calibri"/>
            <family val="2"/>
            <scheme val="minor"/>
          </rPr>
          <t>Introduzca la fecha prevista de adjudicación, en formato dd-mm-aaaa</t>
        </r>
      </text>
    </comment>
    <comment ref="F4113" authorId="2">
      <text/>
    </comment>
    <comment ref="F4114" authorId="2">
      <text/>
    </comment>
    <comment ref="A4116" authorId="2">
      <text>
        <r>
          <rPr>
            <sz val="11"/>
            <color theme="1"/>
            <rFont val="Calibri"/>
            <family val="2"/>
            <scheme val="minor"/>
          </rPr>
          <t>Introduzca un codigo UNSPSC</t>
        </r>
      </text>
    </comment>
    <comment ref="B4116" authorId="2">
      <text>
        <r>
          <rPr>
            <sz val="11"/>
            <color theme="1"/>
            <rFont val="Calibri"/>
            <family val="2"/>
            <scheme val="minor"/>
          </rPr>
          <t>Descripción calculada automáticamente a partir de código del artículo</t>
        </r>
      </text>
    </comment>
    <comment ref="C4116" authorId="2">
      <text>
        <r>
          <rPr>
            <sz val="11"/>
            <color theme="1"/>
            <rFont val="Calibri"/>
            <family val="2"/>
            <scheme val="minor"/>
          </rPr>
          <t>Seleccione un valor de la lista</t>
        </r>
      </text>
    </comment>
    <comment ref="D4116" authorId="2">
      <text>
        <r>
          <rPr>
            <sz val="11"/>
            <color theme="1"/>
            <rFont val="Calibri"/>
            <family val="2"/>
            <scheme val="minor"/>
          </rPr>
          <t>Introduzca un número con dos decimales como máximo. Debe ser igual o mayor a la "Cantidad Real Consumida"</t>
        </r>
      </text>
    </comment>
    <comment ref="E4116" authorId="2">
      <text>
        <r>
          <rPr>
            <sz val="11"/>
            <color theme="1"/>
            <rFont val="Calibri"/>
            <family val="2"/>
            <scheme val="minor"/>
          </rPr>
          <t>Introduzca un número con dos decimales como máximo</t>
        </r>
      </text>
    </comment>
    <comment ref="F4116" authorId="2">
      <text>
        <r>
          <rPr>
            <sz val="11"/>
            <color theme="1"/>
            <rFont val="Calibri"/>
            <family val="2"/>
            <scheme val="minor"/>
          </rPr>
          <t>Monto calculado automáticamente por el sistema</t>
        </r>
      </text>
    </comment>
    <comment ref="A4123" authorId="2">
      <text>
        <r>
          <rPr>
            <sz val="11"/>
            <color theme="1"/>
            <rFont val="Calibri"/>
            <family val="2"/>
            <scheme val="minor"/>
          </rPr>
          <t>Introducir un texto con el nombre o referencia de la contratación</t>
        </r>
      </text>
    </comment>
    <comment ref="B4123" authorId="2">
      <text>
        <r>
          <rPr>
            <sz val="11"/>
            <color theme="1"/>
            <rFont val="Calibri"/>
            <family val="2"/>
            <scheme val="minor"/>
          </rPr>
          <t>Introduzca un texto con la finalidad de la contratación</t>
        </r>
      </text>
    </comment>
    <comment ref="C4123" authorId="2">
      <text>
        <r>
          <rPr>
            <sz val="11"/>
            <color theme="1"/>
            <rFont val="Calibri"/>
            <family val="2"/>
            <scheme val="minor"/>
          </rPr>
          <t>Seleccionar un valor del listado</t>
        </r>
      </text>
    </comment>
    <comment ref="D4123" authorId="2">
      <text>
        <r>
          <rPr>
            <sz val="11"/>
            <color theme="1"/>
            <rFont val="Calibri"/>
            <family val="2"/>
            <scheme val="minor"/>
          </rPr>
          <t>Seleccione el tipo de procedimiento</t>
        </r>
      </text>
    </comment>
    <comment ref="E4123" authorId="2">
      <text>
        <r>
          <rPr>
            <sz val="11"/>
            <color theme="1"/>
            <rFont val="Calibri"/>
            <family val="2"/>
            <scheme val="minor"/>
          </rPr>
          <t>Seleccione un valor de la lista</t>
        </r>
      </text>
    </comment>
    <comment ref="F4123" authorId="2">
      <text>
        <r>
          <rPr>
            <sz val="11"/>
            <color theme="1"/>
            <rFont val="Calibri"/>
            <family val="2"/>
            <scheme val="minor"/>
          </rPr>
          <t>Introduzca el código SNIP</t>
        </r>
      </text>
    </comment>
    <comment ref="C4124" authorId="2">
      <text>
        <r>
          <rPr>
            <sz val="11"/>
            <color theme="1"/>
            <rFont val="Calibri"/>
            <family val="2"/>
            <scheme val="minor"/>
          </rPr>
          <t>Introduzca la fecha de inicio del proceso, en formato dd-mm-aaaa</t>
        </r>
      </text>
    </comment>
    <comment ref="F41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5" authorId="2">
      <text/>
    </comment>
    <comment ref="C4126" authorId="2">
      <text>
        <r>
          <rPr>
            <sz val="11"/>
            <color theme="1"/>
            <rFont val="Calibri"/>
            <family val="2"/>
            <scheme val="minor"/>
          </rPr>
          <t>Introduzca la fecha prevista de adjudicación, en formato dd-mm-aaaa</t>
        </r>
      </text>
    </comment>
    <comment ref="F4126" authorId="2">
      <text/>
    </comment>
    <comment ref="F4127" authorId="2">
      <text/>
    </comment>
    <comment ref="A4129" authorId="2">
      <text>
        <r>
          <rPr>
            <sz val="11"/>
            <color theme="1"/>
            <rFont val="Calibri"/>
            <family val="2"/>
            <scheme val="minor"/>
          </rPr>
          <t>Introduzca un codigo UNSPSC</t>
        </r>
      </text>
    </comment>
    <comment ref="B4129" authorId="2">
      <text>
        <r>
          <rPr>
            <sz val="11"/>
            <color theme="1"/>
            <rFont val="Calibri"/>
            <family val="2"/>
            <scheme val="minor"/>
          </rPr>
          <t>Descripción calculada automáticamente a partir de código del artículo</t>
        </r>
      </text>
    </comment>
    <comment ref="C4129" authorId="2">
      <text>
        <r>
          <rPr>
            <sz val="11"/>
            <color theme="1"/>
            <rFont val="Calibri"/>
            <family val="2"/>
            <scheme val="minor"/>
          </rPr>
          <t>Seleccione un valor de la lista</t>
        </r>
      </text>
    </comment>
    <comment ref="D4129" authorId="2">
      <text>
        <r>
          <rPr>
            <sz val="11"/>
            <color theme="1"/>
            <rFont val="Calibri"/>
            <family val="2"/>
            <scheme val="minor"/>
          </rPr>
          <t>Introduzca un número con dos decimales como máximo. Debe ser igual o mayor a la "Cantidad Real Consumida"</t>
        </r>
      </text>
    </comment>
    <comment ref="E4129" authorId="2">
      <text>
        <r>
          <rPr>
            <sz val="11"/>
            <color theme="1"/>
            <rFont val="Calibri"/>
            <family val="2"/>
            <scheme val="minor"/>
          </rPr>
          <t>Introduzca un número con dos decimales como máximo</t>
        </r>
      </text>
    </comment>
    <comment ref="F4129" authorId="2">
      <text>
        <r>
          <rPr>
            <sz val="11"/>
            <color theme="1"/>
            <rFont val="Calibri"/>
            <family val="2"/>
            <scheme val="minor"/>
          </rPr>
          <t>Monto calculado automáticamente por el sistema</t>
        </r>
      </text>
    </comment>
    <comment ref="A4135" authorId="2">
      <text>
        <r>
          <rPr>
            <sz val="11"/>
            <color theme="1"/>
            <rFont val="Calibri"/>
            <family val="2"/>
            <scheme val="minor"/>
          </rPr>
          <t>Introducir un texto con el nombre o referencia de la contratación</t>
        </r>
      </text>
    </comment>
    <comment ref="B4135" authorId="2">
      <text>
        <r>
          <rPr>
            <sz val="11"/>
            <color theme="1"/>
            <rFont val="Calibri"/>
            <family val="2"/>
            <scheme val="minor"/>
          </rPr>
          <t>Introduzca un texto con la finalidad de la contratación</t>
        </r>
      </text>
    </comment>
    <comment ref="C4135" authorId="2">
      <text>
        <r>
          <rPr>
            <sz val="11"/>
            <color theme="1"/>
            <rFont val="Calibri"/>
            <family val="2"/>
            <scheme val="minor"/>
          </rPr>
          <t>Seleccionar un valor del listado</t>
        </r>
      </text>
    </comment>
    <comment ref="D4135" authorId="2">
      <text>
        <r>
          <rPr>
            <sz val="11"/>
            <color theme="1"/>
            <rFont val="Calibri"/>
            <family val="2"/>
            <scheme val="minor"/>
          </rPr>
          <t>Seleccione el tipo de procedimiento</t>
        </r>
      </text>
    </comment>
    <comment ref="E4135" authorId="2">
      <text>
        <r>
          <rPr>
            <sz val="11"/>
            <color theme="1"/>
            <rFont val="Calibri"/>
            <family val="2"/>
            <scheme val="minor"/>
          </rPr>
          <t>Seleccione un valor de la lista</t>
        </r>
      </text>
    </comment>
    <comment ref="F4135" authorId="2">
      <text>
        <r>
          <rPr>
            <sz val="11"/>
            <color theme="1"/>
            <rFont val="Calibri"/>
            <family val="2"/>
            <scheme val="minor"/>
          </rPr>
          <t>Introduzca el código SNIP</t>
        </r>
      </text>
    </comment>
    <comment ref="C4136" authorId="2">
      <text>
        <r>
          <rPr>
            <sz val="11"/>
            <color theme="1"/>
            <rFont val="Calibri"/>
            <family val="2"/>
            <scheme val="minor"/>
          </rPr>
          <t>Introduzca la fecha de inicio del proceso, en formato dd-mm-aaaa</t>
        </r>
      </text>
    </comment>
    <comment ref="F41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7" authorId="2">
      <text/>
    </comment>
    <comment ref="C4138" authorId="2">
      <text>
        <r>
          <rPr>
            <sz val="11"/>
            <color theme="1"/>
            <rFont val="Calibri"/>
            <family val="2"/>
            <scheme val="minor"/>
          </rPr>
          <t>Introduzca la fecha prevista de adjudicación, en formato dd-mm-aaaa</t>
        </r>
      </text>
    </comment>
    <comment ref="F4138" authorId="2">
      <text/>
    </comment>
    <comment ref="F4139" authorId="2">
      <text/>
    </comment>
    <comment ref="A4141" authorId="2">
      <text>
        <r>
          <rPr>
            <sz val="11"/>
            <color theme="1"/>
            <rFont val="Calibri"/>
            <family val="2"/>
            <scheme val="minor"/>
          </rPr>
          <t>Introduzca un codigo UNSPSC</t>
        </r>
      </text>
    </comment>
    <comment ref="B4141" authorId="2">
      <text>
        <r>
          <rPr>
            <sz val="11"/>
            <color theme="1"/>
            <rFont val="Calibri"/>
            <family val="2"/>
            <scheme val="minor"/>
          </rPr>
          <t>Descripción calculada automáticamente a partir de código del artículo</t>
        </r>
      </text>
    </comment>
    <comment ref="C4141" authorId="2">
      <text>
        <r>
          <rPr>
            <sz val="11"/>
            <color theme="1"/>
            <rFont val="Calibri"/>
            <family val="2"/>
            <scheme val="minor"/>
          </rPr>
          <t>Seleccione un valor de la lista</t>
        </r>
      </text>
    </comment>
    <comment ref="D4141" authorId="2">
      <text>
        <r>
          <rPr>
            <sz val="11"/>
            <color theme="1"/>
            <rFont val="Calibri"/>
            <family val="2"/>
            <scheme val="minor"/>
          </rPr>
          <t>Introduzca un número con dos decimales como máximo. Debe ser igual o mayor a la "Cantidad Real Consumida"</t>
        </r>
      </text>
    </comment>
    <comment ref="E4141" authorId="2">
      <text>
        <r>
          <rPr>
            <sz val="11"/>
            <color theme="1"/>
            <rFont val="Calibri"/>
            <family val="2"/>
            <scheme val="minor"/>
          </rPr>
          <t>Introduzca un número con dos decimales como máximo</t>
        </r>
      </text>
    </comment>
    <comment ref="F4141" authorId="2">
      <text>
        <r>
          <rPr>
            <sz val="11"/>
            <color theme="1"/>
            <rFont val="Calibri"/>
            <family val="2"/>
            <scheme val="minor"/>
          </rPr>
          <t>Monto calculado automáticamente por el sistema</t>
        </r>
      </text>
    </comment>
    <comment ref="A4147" authorId="2">
      <text>
        <r>
          <rPr>
            <sz val="11"/>
            <color theme="1"/>
            <rFont val="Calibri"/>
            <family val="2"/>
            <scheme val="minor"/>
          </rPr>
          <t>Introducir un texto con el nombre o referencia de la contratación</t>
        </r>
      </text>
    </comment>
    <comment ref="B4147" authorId="2">
      <text>
        <r>
          <rPr>
            <sz val="11"/>
            <color theme="1"/>
            <rFont val="Calibri"/>
            <family val="2"/>
            <scheme val="minor"/>
          </rPr>
          <t>Introduzca un texto con la finalidad de la contratación</t>
        </r>
      </text>
    </comment>
    <comment ref="C4147" authorId="2">
      <text>
        <r>
          <rPr>
            <sz val="11"/>
            <color theme="1"/>
            <rFont val="Calibri"/>
            <family val="2"/>
            <scheme val="minor"/>
          </rPr>
          <t>Seleccionar un valor del listado</t>
        </r>
      </text>
    </comment>
    <comment ref="D4147" authorId="2">
      <text>
        <r>
          <rPr>
            <sz val="11"/>
            <color theme="1"/>
            <rFont val="Calibri"/>
            <family val="2"/>
            <scheme val="minor"/>
          </rPr>
          <t>Seleccione el tipo de procedimiento</t>
        </r>
      </text>
    </comment>
    <comment ref="E4147" authorId="2">
      <text>
        <r>
          <rPr>
            <sz val="11"/>
            <color theme="1"/>
            <rFont val="Calibri"/>
            <family val="2"/>
            <scheme val="minor"/>
          </rPr>
          <t>Seleccione un valor de la lista</t>
        </r>
      </text>
    </comment>
    <comment ref="F4147" authorId="2">
      <text>
        <r>
          <rPr>
            <sz val="11"/>
            <color theme="1"/>
            <rFont val="Calibri"/>
            <family val="2"/>
            <scheme val="minor"/>
          </rPr>
          <t>Introduzca el código SNIP</t>
        </r>
      </text>
    </comment>
    <comment ref="C4148" authorId="2">
      <text>
        <r>
          <rPr>
            <sz val="11"/>
            <color theme="1"/>
            <rFont val="Calibri"/>
            <family val="2"/>
            <scheme val="minor"/>
          </rPr>
          <t>Introduzca la fecha de inicio del proceso, en formato dd-mm-aaaa</t>
        </r>
      </text>
    </comment>
    <comment ref="F41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9" authorId="2">
      <text/>
    </comment>
    <comment ref="C4150" authorId="2">
      <text>
        <r>
          <rPr>
            <sz val="11"/>
            <color theme="1"/>
            <rFont val="Calibri"/>
            <family val="2"/>
            <scheme val="minor"/>
          </rPr>
          <t>Introduzca la fecha prevista de adjudicación, en formato dd-mm-aaaa</t>
        </r>
      </text>
    </comment>
    <comment ref="F4150" authorId="2">
      <text/>
    </comment>
    <comment ref="F4151" authorId="2">
      <text/>
    </comment>
    <comment ref="A4153" authorId="2">
      <text>
        <r>
          <rPr>
            <sz val="11"/>
            <color theme="1"/>
            <rFont val="Calibri"/>
            <family val="2"/>
            <scheme val="minor"/>
          </rPr>
          <t>Introduzca un codigo UNSPSC</t>
        </r>
      </text>
    </comment>
    <comment ref="B4153" authorId="2">
      <text>
        <r>
          <rPr>
            <sz val="11"/>
            <color theme="1"/>
            <rFont val="Calibri"/>
            <family val="2"/>
            <scheme val="minor"/>
          </rPr>
          <t>Descripción calculada automáticamente a partir de código del artículo</t>
        </r>
      </text>
    </comment>
    <comment ref="C4153" authorId="2">
      <text>
        <r>
          <rPr>
            <sz val="11"/>
            <color theme="1"/>
            <rFont val="Calibri"/>
            <family val="2"/>
            <scheme val="minor"/>
          </rPr>
          <t>Seleccione un valor de la lista</t>
        </r>
      </text>
    </comment>
    <comment ref="D4153" authorId="2">
      <text>
        <r>
          <rPr>
            <sz val="11"/>
            <color theme="1"/>
            <rFont val="Calibri"/>
            <family val="2"/>
            <scheme val="minor"/>
          </rPr>
          <t>Introduzca un número con dos decimales como máximo. Debe ser igual o mayor a la "Cantidad Real Consumida"</t>
        </r>
      </text>
    </comment>
    <comment ref="E4153" authorId="2">
      <text>
        <r>
          <rPr>
            <sz val="11"/>
            <color theme="1"/>
            <rFont val="Calibri"/>
            <family val="2"/>
            <scheme val="minor"/>
          </rPr>
          <t>Introduzca un número con dos decimales como máximo</t>
        </r>
      </text>
    </comment>
    <comment ref="F4153" authorId="2">
      <text>
        <r>
          <rPr>
            <sz val="11"/>
            <color theme="1"/>
            <rFont val="Calibri"/>
            <family val="2"/>
            <scheme val="minor"/>
          </rPr>
          <t>Monto calculado automáticamente por el sistema</t>
        </r>
      </text>
    </comment>
    <comment ref="A4158" authorId="2">
      <text>
        <r>
          <rPr>
            <sz val="11"/>
            <color theme="1"/>
            <rFont val="Calibri"/>
            <family val="2"/>
            <scheme val="minor"/>
          </rPr>
          <t>Introducir un texto con el nombre o referencia de la contratación</t>
        </r>
      </text>
    </comment>
    <comment ref="B4158" authorId="2">
      <text>
        <r>
          <rPr>
            <sz val="11"/>
            <color theme="1"/>
            <rFont val="Calibri"/>
            <family val="2"/>
            <scheme val="minor"/>
          </rPr>
          <t>Introduzca un texto con la finalidad de la contratación</t>
        </r>
      </text>
    </comment>
    <comment ref="C4158" authorId="2">
      <text>
        <r>
          <rPr>
            <sz val="11"/>
            <color theme="1"/>
            <rFont val="Calibri"/>
            <family val="2"/>
            <scheme val="minor"/>
          </rPr>
          <t>Seleccionar un valor del listado</t>
        </r>
      </text>
    </comment>
    <comment ref="D4158" authorId="2">
      <text>
        <r>
          <rPr>
            <sz val="11"/>
            <color theme="1"/>
            <rFont val="Calibri"/>
            <family val="2"/>
            <scheme val="minor"/>
          </rPr>
          <t>Seleccione el tipo de procedimiento</t>
        </r>
      </text>
    </comment>
    <comment ref="E4158" authorId="2">
      <text>
        <r>
          <rPr>
            <sz val="11"/>
            <color theme="1"/>
            <rFont val="Calibri"/>
            <family val="2"/>
            <scheme val="minor"/>
          </rPr>
          <t>Seleccione un valor de la lista</t>
        </r>
      </text>
    </comment>
    <comment ref="F4158" authorId="2">
      <text>
        <r>
          <rPr>
            <sz val="11"/>
            <color theme="1"/>
            <rFont val="Calibri"/>
            <family val="2"/>
            <scheme val="minor"/>
          </rPr>
          <t>Introduzca el código SNIP</t>
        </r>
      </text>
    </comment>
    <comment ref="C4159" authorId="2">
      <text>
        <r>
          <rPr>
            <sz val="11"/>
            <color theme="1"/>
            <rFont val="Calibri"/>
            <family val="2"/>
            <scheme val="minor"/>
          </rPr>
          <t>Introduzca la fecha de inicio del proceso, en formato dd-mm-aaaa</t>
        </r>
      </text>
    </comment>
    <comment ref="F41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0" authorId="2">
      <text/>
    </comment>
    <comment ref="C4161" authorId="2">
      <text>
        <r>
          <rPr>
            <sz val="11"/>
            <color theme="1"/>
            <rFont val="Calibri"/>
            <family val="2"/>
            <scheme val="minor"/>
          </rPr>
          <t>Introduzca la fecha prevista de adjudicación, en formato dd-mm-aaaa</t>
        </r>
      </text>
    </comment>
    <comment ref="F4161" authorId="2">
      <text/>
    </comment>
    <comment ref="F4162" authorId="2">
      <text/>
    </comment>
    <comment ref="A4164" authorId="2">
      <text>
        <r>
          <rPr>
            <sz val="11"/>
            <color theme="1"/>
            <rFont val="Calibri"/>
            <family val="2"/>
            <scheme val="minor"/>
          </rPr>
          <t>Introduzca un codigo UNSPSC</t>
        </r>
      </text>
    </comment>
    <comment ref="B4164" authorId="2">
      <text>
        <r>
          <rPr>
            <sz val="11"/>
            <color theme="1"/>
            <rFont val="Calibri"/>
            <family val="2"/>
            <scheme val="minor"/>
          </rPr>
          <t>Descripción calculada automáticamente a partir de código del artículo</t>
        </r>
      </text>
    </comment>
    <comment ref="C4164" authorId="2">
      <text>
        <r>
          <rPr>
            <sz val="11"/>
            <color theme="1"/>
            <rFont val="Calibri"/>
            <family val="2"/>
            <scheme val="minor"/>
          </rPr>
          <t>Seleccione un valor de la lista</t>
        </r>
      </text>
    </comment>
    <comment ref="D4164" authorId="2">
      <text>
        <r>
          <rPr>
            <sz val="11"/>
            <color theme="1"/>
            <rFont val="Calibri"/>
            <family val="2"/>
            <scheme val="minor"/>
          </rPr>
          <t>Introduzca un número con dos decimales como máximo. Debe ser igual o mayor a la "Cantidad Real Consumida"</t>
        </r>
      </text>
    </comment>
    <comment ref="E4164" authorId="2">
      <text>
        <r>
          <rPr>
            <sz val="11"/>
            <color theme="1"/>
            <rFont val="Calibri"/>
            <family val="2"/>
            <scheme val="minor"/>
          </rPr>
          <t>Introduzca un número con dos decimales como máximo</t>
        </r>
      </text>
    </comment>
    <comment ref="F4164" authorId="2">
      <text>
        <r>
          <rPr>
            <sz val="11"/>
            <color theme="1"/>
            <rFont val="Calibri"/>
            <family val="2"/>
            <scheme val="minor"/>
          </rPr>
          <t>Monto calculado automáticamente por el sistema</t>
        </r>
      </text>
    </comment>
    <comment ref="A4170" authorId="2">
      <text>
        <r>
          <rPr>
            <sz val="11"/>
            <color theme="1"/>
            <rFont val="Calibri"/>
            <family val="2"/>
            <scheme val="minor"/>
          </rPr>
          <t>Introducir un texto con el nombre o referencia de la contratación</t>
        </r>
      </text>
    </comment>
    <comment ref="B4170" authorId="2">
      <text>
        <r>
          <rPr>
            <sz val="11"/>
            <color theme="1"/>
            <rFont val="Calibri"/>
            <family val="2"/>
            <scheme val="minor"/>
          </rPr>
          <t>Introduzca un texto con la finalidad de la contratación</t>
        </r>
      </text>
    </comment>
    <comment ref="C4170" authorId="2">
      <text>
        <r>
          <rPr>
            <sz val="11"/>
            <color theme="1"/>
            <rFont val="Calibri"/>
            <family val="2"/>
            <scheme val="minor"/>
          </rPr>
          <t>Seleccionar un valor del listado</t>
        </r>
      </text>
    </comment>
    <comment ref="D4170" authorId="2">
      <text>
        <r>
          <rPr>
            <sz val="11"/>
            <color theme="1"/>
            <rFont val="Calibri"/>
            <family val="2"/>
            <scheme val="minor"/>
          </rPr>
          <t>Seleccione el tipo de procedimiento</t>
        </r>
      </text>
    </comment>
    <comment ref="E4170" authorId="2">
      <text>
        <r>
          <rPr>
            <sz val="11"/>
            <color theme="1"/>
            <rFont val="Calibri"/>
            <family val="2"/>
            <scheme val="minor"/>
          </rPr>
          <t>Seleccione un valor de la lista</t>
        </r>
      </text>
    </comment>
    <comment ref="F4170" authorId="2">
      <text>
        <r>
          <rPr>
            <sz val="11"/>
            <color theme="1"/>
            <rFont val="Calibri"/>
            <family val="2"/>
            <scheme val="minor"/>
          </rPr>
          <t>Introduzca el código SNIP</t>
        </r>
      </text>
    </comment>
    <comment ref="C4171" authorId="2">
      <text>
        <r>
          <rPr>
            <sz val="11"/>
            <color theme="1"/>
            <rFont val="Calibri"/>
            <family val="2"/>
            <scheme val="minor"/>
          </rPr>
          <t>Introduzca la fecha de inicio del proceso, en formato dd-mm-aaaa</t>
        </r>
      </text>
    </comment>
    <comment ref="F41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2" authorId="2">
      <text/>
    </comment>
    <comment ref="C4173" authorId="2">
      <text>
        <r>
          <rPr>
            <sz val="11"/>
            <color theme="1"/>
            <rFont val="Calibri"/>
            <family val="2"/>
            <scheme val="minor"/>
          </rPr>
          <t>Introduzca la fecha prevista de adjudicación, en formato dd-mm-aaaa</t>
        </r>
      </text>
    </comment>
    <comment ref="F4173" authorId="2">
      <text/>
    </comment>
    <comment ref="F4174" authorId="2">
      <text/>
    </comment>
    <comment ref="A4176" authorId="2">
      <text>
        <r>
          <rPr>
            <sz val="11"/>
            <color theme="1"/>
            <rFont val="Calibri"/>
            <family val="2"/>
            <scheme val="minor"/>
          </rPr>
          <t>Introduzca un codigo UNSPSC</t>
        </r>
      </text>
    </comment>
    <comment ref="B4176" authorId="2">
      <text>
        <r>
          <rPr>
            <sz val="11"/>
            <color theme="1"/>
            <rFont val="Calibri"/>
            <family val="2"/>
            <scheme val="minor"/>
          </rPr>
          <t>Descripción calculada automáticamente a partir de código del artículo</t>
        </r>
      </text>
    </comment>
    <comment ref="C4176" authorId="2">
      <text>
        <r>
          <rPr>
            <sz val="11"/>
            <color theme="1"/>
            <rFont val="Calibri"/>
            <family val="2"/>
            <scheme val="minor"/>
          </rPr>
          <t>Seleccione un valor de la lista</t>
        </r>
      </text>
    </comment>
    <comment ref="D4176" authorId="2">
      <text>
        <r>
          <rPr>
            <sz val="11"/>
            <color theme="1"/>
            <rFont val="Calibri"/>
            <family val="2"/>
            <scheme val="minor"/>
          </rPr>
          <t>Introduzca un número con dos decimales como máximo. Debe ser igual o mayor a la "Cantidad Real Consumida"</t>
        </r>
      </text>
    </comment>
    <comment ref="E4176" authorId="2">
      <text>
        <r>
          <rPr>
            <sz val="11"/>
            <color theme="1"/>
            <rFont val="Calibri"/>
            <family val="2"/>
            <scheme val="minor"/>
          </rPr>
          <t>Introduzca un número con dos decimales como máximo</t>
        </r>
      </text>
    </comment>
    <comment ref="F4176" authorId="2">
      <text>
        <r>
          <rPr>
            <sz val="11"/>
            <color theme="1"/>
            <rFont val="Calibri"/>
            <family val="2"/>
            <scheme val="minor"/>
          </rPr>
          <t>Monto calculado automáticamente por el sistema</t>
        </r>
      </text>
    </comment>
    <comment ref="A4187" authorId="2">
      <text>
        <r>
          <rPr>
            <sz val="11"/>
            <color theme="1"/>
            <rFont val="Calibri"/>
            <family val="2"/>
            <scheme val="minor"/>
          </rPr>
          <t>Introducir un texto con el nombre o referencia de la contratación</t>
        </r>
      </text>
    </comment>
    <comment ref="B4187" authorId="2">
      <text>
        <r>
          <rPr>
            <sz val="11"/>
            <color theme="1"/>
            <rFont val="Calibri"/>
            <family val="2"/>
            <scheme val="minor"/>
          </rPr>
          <t>Introduzca un texto con la finalidad de la contratación</t>
        </r>
      </text>
    </comment>
    <comment ref="C4187" authorId="2">
      <text>
        <r>
          <rPr>
            <sz val="11"/>
            <color theme="1"/>
            <rFont val="Calibri"/>
            <family val="2"/>
            <scheme val="minor"/>
          </rPr>
          <t>Seleccionar un valor del listado</t>
        </r>
      </text>
    </comment>
    <comment ref="D4187" authorId="2">
      <text>
        <r>
          <rPr>
            <sz val="11"/>
            <color theme="1"/>
            <rFont val="Calibri"/>
            <family val="2"/>
            <scheme val="minor"/>
          </rPr>
          <t>Seleccione el tipo de procedimiento</t>
        </r>
      </text>
    </comment>
    <comment ref="E4187" authorId="2">
      <text>
        <r>
          <rPr>
            <sz val="11"/>
            <color theme="1"/>
            <rFont val="Calibri"/>
            <family val="2"/>
            <scheme val="minor"/>
          </rPr>
          <t>Seleccione un valor de la lista</t>
        </r>
      </text>
    </comment>
    <comment ref="F4187" authorId="2">
      <text>
        <r>
          <rPr>
            <sz val="11"/>
            <color theme="1"/>
            <rFont val="Calibri"/>
            <family val="2"/>
            <scheme val="minor"/>
          </rPr>
          <t>Introduzca el código SNIP</t>
        </r>
      </text>
    </comment>
    <comment ref="C4188" authorId="2">
      <text>
        <r>
          <rPr>
            <sz val="11"/>
            <color theme="1"/>
            <rFont val="Calibri"/>
            <family val="2"/>
            <scheme val="minor"/>
          </rPr>
          <t>Introduzca la fecha de inicio del proceso, en formato dd-mm-aaaa</t>
        </r>
      </text>
    </comment>
    <comment ref="F41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9" authorId="2">
      <text/>
    </comment>
    <comment ref="C4190" authorId="2">
      <text>
        <r>
          <rPr>
            <sz val="11"/>
            <color theme="1"/>
            <rFont val="Calibri"/>
            <family val="2"/>
            <scheme val="minor"/>
          </rPr>
          <t>Introduzca la fecha prevista de adjudicación, en formato dd-mm-aaaa</t>
        </r>
      </text>
    </comment>
    <comment ref="F4190" authorId="2">
      <text/>
    </comment>
    <comment ref="F4191" authorId="2">
      <text/>
    </comment>
    <comment ref="A4193" authorId="2">
      <text>
        <r>
          <rPr>
            <sz val="11"/>
            <color theme="1"/>
            <rFont val="Calibri"/>
            <family val="2"/>
            <scheme val="minor"/>
          </rPr>
          <t>Introduzca un codigo UNSPSC</t>
        </r>
      </text>
    </comment>
    <comment ref="B4193" authorId="2">
      <text>
        <r>
          <rPr>
            <sz val="11"/>
            <color theme="1"/>
            <rFont val="Calibri"/>
            <family val="2"/>
            <scheme val="minor"/>
          </rPr>
          <t>Descripción calculada automáticamente a partir de código del artículo</t>
        </r>
      </text>
    </comment>
    <comment ref="C4193" authorId="2">
      <text>
        <r>
          <rPr>
            <sz val="11"/>
            <color theme="1"/>
            <rFont val="Calibri"/>
            <family val="2"/>
            <scheme val="minor"/>
          </rPr>
          <t>Seleccione un valor de la lista</t>
        </r>
      </text>
    </comment>
    <comment ref="D4193" authorId="2">
      <text>
        <r>
          <rPr>
            <sz val="11"/>
            <color theme="1"/>
            <rFont val="Calibri"/>
            <family val="2"/>
            <scheme val="minor"/>
          </rPr>
          <t>Introduzca un número con dos decimales como máximo. Debe ser igual o mayor a la "Cantidad Real Consumida"</t>
        </r>
      </text>
    </comment>
    <comment ref="E4193" authorId="2">
      <text>
        <r>
          <rPr>
            <sz val="11"/>
            <color theme="1"/>
            <rFont val="Calibri"/>
            <family val="2"/>
            <scheme val="minor"/>
          </rPr>
          <t>Introduzca un número con dos decimales como máximo</t>
        </r>
      </text>
    </comment>
    <comment ref="F4193" authorId="2">
      <text>
        <r>
          <rPr>
            <sz val="11"/>
            <color theme="1"/>
            <rFont val="Calibri"/>
            <family val="2"/>
            <scheme val="minor"/>
          </rPr>
          <t>Monto calculado automáticamente por el sistema</t>
        </r>
      </text>
    </comment>
    <comment ref="A4198" authorId="2">
      <text>
        <r>
          <rPr>
            <sz val="11"/>
            <color theme="1"/>
            <rFont val="Calibri"/>
            <family val="2"/>
            <scheme val="minor"/>
          </rPr>
          <t>Introducir un texto con el nombre o referencia de la contratación</t>
        </r>
      </text>
    </comment>
    <comment ref="B4198" authorId="2">
      <text>
        <r>
          <rPr>
            <sz val="11"/>
            <color theme="1"/>
            <rFont val="Calibri"/>
            <family val="2"/>
            <scheme val="minor"/>
          </rPr>
          <t>Introduzca un texto con la finalidad de la contratación</t>
        </r>
      </text>
    </comment>
    <comment ref="C4198" authorId="2">
      <text>
        <r>
          <rPr>
            <sz val="11"/>
            <color theme="1"/>
            <rFont val="Calibri"/>
            <family val="2"/>
            <scheme val="minor"/>
          </rPr>
          <t>Seleccionar un valor del listado</t>
        </r>
      </text>
    </comment>
    <comment ref="D4198" authorId="2">
      <text>
        <r>
          <rPr>
            <sz val="11"/>
            <color theme="1"/>
            <rFont val="Calibri"/>
            <family val="2"/>
            <scheme val="minor"/>
          </rPr>
          <t>Seleccione el tipo de procedimiento</t>
        </r>
      </text>
    </comment>
    <comment ref="E4198" authorId="2">
      <text>
        <r>
          <rPr>
            <sz val="11"/>
            <color theme="1"/>
            <rFont val="Calibri"/>
            <family val="2"/>
            <scheme val="minor"/>
          </rPr>
          <t>Seleccione un valor de la lista</t>
        </r>
      </text>
    </comment>
    <comment ref="F4198" authorId="2">
      <text>
        <r>
          <rPr>
            <sz val="11"/>
            <color theme="1"/>
            <rFont val="Calibri"/>
            <family val="2"/>
            <scheme val="minor"/>
          </rPr>
          <t>Introduzca el código SNIP</t>
        </r>
      </text>
    </comment>
    <comment ref="C4199" authorId="2">
      <text>
        <r>
          <rPr>
            <sz val="11"/>
            <color theme="1"/>
            <rFont val="Calibri"/>
            <family val="2"/>
            <scheme val="minor"/>
          </rPr>
          <t>Introduzca la fecha de inicio del proceso, en formato dd-mm-aaaa</t>
        </r>
      </text>
    </comment>
    <comment ref="F41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0" authorId="2">
      <text/>
    </comment>
    <comment ref="C4201" authorId="2">
      <text>
        <r>
          <rPr>
            <sz val="11"/>
            <color theme="1"/>
            <rFont val="Calibri"/>
            <family val="2"/>
            <scheme val="minor"/>
          </rPr>
          <t>Introduzca la fecha prevista de adjudicación, en formato dd-mm-aaaa</t>
        </r>
      </text>
    </comment>
    <comment ref="F4201" authorId="2">
      <text/>
    </comment>
    <comment ref="F4202" authorId="2">
      <text/>
    </comment>
    <comment ref="A4204" authorId="2">
      <text>
        <r>
          <rPr>
            <sz val="11"/>
            <color theme="1"/>
            <rFont val="Calibri"/>
            <family val="2"/>
            <scheme val="minor"/>
          </rPr>
          <t>Introduzca un codigo UNSPSC</t>
        </r>
      </text>
    </comment>
    <comment ref="B4204" authorId="2">
      <text>
        <r>
          <rPr>
            <sz val="11"/>
            <color theme="1"/>
            <rFont val="Calibri"/>
            <family val="2"/>
            <scheme val="minor"/>
          </rPr>
          <t>Descripción calculada automáticamente a partir de código del artículo</t>
        </r>
      </text>
    </comment>
    <comment ref="C4204" authorId="2">
      <text>
        <r>
          <rPr>
            <sz val="11"/>
            <color theme="1"/>
            <rFont val="Calibri"/>
            <family val="2"/>
            <scheme val="minor"/>
          </rPr>
          <t>Seleccione un valor de la lista</t>
        </r>
      </text>
    </comment>
    <comment ref="D4204" authorId="2">
      <text>
        <r>
          <rPr>
            <sz val="11"/>
            <color theme="1"/>
            <rFont val="Calibri"/>
            <family val="2"/>
            <scheme val="minor"/>
          </rPr>
          <t>Introduzca un número con dos decimales como máximo. Debe ser igual o mayor a la "Cantidad Real Consumida"</t>
        </r>
      </text>
    </comment>
    <comment ref="E4204" authorId="2">
      <text>
        <r>
          <rPr>
            <sz val="11"/>
            <color theme="1"/>
            <rFont val="Calibri"/>
            <family val="2"/>
            <scheme val="minor"/>
          </rPr>
          <t>Introduzca un número con dos decimales como máximo</t>
        </r>
      </text>
    </comment>
    <comment ref="F4204" authorId="2">
      <text>
        <r>
          <rPr>
            <sz val="11"/>
            <color theme="1"/>
            <rFont val="Calibri"/>
            <family val="2"/>
            <scheme val="minor"/>
          </rPr>
          <t>Monto calculado automáticamente por el sistema</t>
        </r>
      </text>
    </comment>
    <comment ref="A4209" authorId="2">
      <text>
        <r>
          <rPr>
            <sz val="11"/>
            <color theme="1"/>
            <rFont val="Calibri"/>
            <family val="2"/>
            <scheme val="minor"/>
          </rPr>
          <t>Introducir un texto con el nombre o referencia de la contratación</t>
        </r>
      </text>
    </comment>
    <comment ref="B4209" authorId="2">
      <text>
        <r>
          <rPr>
            <sz val="11"/>
            <color theme="1"/>
            <rFont val="Calibri"/>
            <family val="2"/>
            <scheme val="minor"/>
          </rPr>
          <t>Introduzca un texto con la finalidad de la contratación</t>
        </r>
      </text>
    </comment>
    <comment ref="C4209" authorId="2">
      <text>
        <r>
          <rPr>
            <sz val="11"/>
            <color theme="1"/>
            <rFont val="Calibri"/>
            <family val="2"/>
            <scheme val="minor"/>
          </rPr>
          <t>Seleccionar un valor del listado</t>
        </r>
      </text>
    </comment>
    <comment ref="D4209" authorId="2">
      <text>
        <r>
          <rPr>
            <sz val="11"/>
            <color theme="1"/>
            <rFont val="Calibri"/>
            <family val="2"/>
            <scheme val="minor"/>
          </rPr>
          <t>Seleccione el tipo de procedimiento</t>
        </r>
      </text>
    </comment>
    <comment ref="E4209" authorId="2">
      <text>
        <r>
          <rPr>
            <sz val="11"/>
            <color theme="1"/>
            <rFont val="Calibri"/>
            <family val="2"/>
            <scheme val="minor"/>
          </rPr>
          <t>Seleccione un valor de la lista</t>
        </r>
      </text>
    </comment>
    <comment ref="F4209" authorId="2">
      <text>
        <r>
          <rPr>
            <sz val="11"/>
            <color theme="1"/>
            <rFont val="Calibri"/>
            <family val="2"/>
            <scheme val="minor"/>
          </rPr>
          <t>Introduzca el código SNIP</t>
        </r>
      </text>
    </comment>
    <comment ref="C4210" authorId="2">
      <text>
        <r>
          <rPr>
            <sz val="11"/>
            <color theme="1"/>
            <rFont val="Calibri"/>
            <family val="2"/>
            <scheme val="minor"/>
          </rPr>
          <t>Introduzca la fecha de inicio del proceso, en formato dd-mm-aaaa</t>
        </r>
      </text>
    </comment>
    <comment ref="F42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1" authorId="2">
      <text/>
    </comment>
    <comment ref="C4212" authorId="2">
      <text>
        <r>
          <rPr>
            <sz val="11"/>
            <color theme="1"/>
            <rFont val="Calibri"/>
            <family val="2"/>
            <scheme val="minor"/>
          </rPr>
          <t>Introduzca la fecha prevista de adjudicación, en formato dd-mm-aaaa</t>
        </r>
      </text>
    </comment>
    <comment ref="F4212" authorId="2">
      <text/>
    </comment>
    <comment ref="F4213" authorId="2">
      <text/>
    </comment>
    <comment ref="A4215" authorId="2">
      <text>
        <r>
          <rPr>
            <sz val="11"/>
            <color theme="1"/>
            <rFont val="Calibri"/>
            <family val="2"/>
            <scheme val="minor"/>
          </rPr>
          <t>Introduzca un codigo UNSPSC</t>
        </r>
      </text>
    </comment>
    <comment ref="B4215" authorId="2">
      <text>
        <r>
          <rPr>
            <sz val="11"/>
            <color theme="1"/>
            <rFont val="Calibri"/>
            <family val="2"/>
            <scheme val="minor"/>
          </rPr>
          <t>Descripción calculada automáticamente a partir de código del artículo</t>
        </r>
      </text>
    </comment>
    <comment ref="C4215" authorId="2">
      <text>
        <r>
          <rPr>
            <sz val="11"/>
            <color theme="1"/>
            <rFont val="Calibri"/>
            <family val="2"/>
            <scheme val="minor"/>
          </rPr>
          <t>Seleccione un valor de la lista</t>
        </r>
      </text>
    </comment>
    <comment ref="D4215" authorId="2">
      <text>
        <r>
          <rPr>
            <sz val="11"/>
            <color theme="1"/>
            <rFont val="Calibri"/>
            <family val="2"/>
            <scheme val="minor"/>
          </rPr>
          <t>Introduzca un número con dos decimales como máximo. Debe ser igual o mayor a la "Cantidad Real Consumida"</t>
        </r>
      </text>
    </comment>
    <comment ref="E4215" authorId="2">
      <text>
        <r>
          <rPr>
            <sz val="11"/>
            <color theme="1"/>
            <rFont val="Calibri"/>
            <family val="2"/>
            <scheme val="minor"/>
          </rPr>
          <t>Introduzca un número con dos decimales como máximo</t>
        </r>
      </text>
    </comment>
    <comment ref="F4215" authorId="2">
      <text>
        <r>
          <rPr>
            <sz val="11"/>
            <color theme="1"/>
            <rFont val="Calibri"/>
            <family val="2"/>
            <scheme val="minor"/>
          </rPr>
          <t>Monto calculado automáticamente por el sistema</t>
        </r>
      </text>
    </comment>
    <comment ref="A4220" authorId="2">
      <text>
        <r>
          <rPr>
            <sz val="11"/>
            <color theme="1"/>
            <rFont val="Calibri"/>
            <family val="2"/>
            <scheme val="minor"/>
          </rPr>
          <t>Introducir un texto con el nombre o referencia de la contratación</t>
        </r>
      </text>
    </comment>
    <comment ref="B4220" authorId="2">
      <text>
        <r>
          <rPr>
            <sz val="11"/>
            <color theme="1"/>
            <rFont val="Calibri"/>
            <family val="2"/>
            <scheme val="minor"/>
          </rPr>
          <t>Introduzca un texto con la finalidad de la contratación</t>
        </r>
      </text>
    </comment>
    <comment ref="C4220" authorId="2">
      <text>
        <r>
          <rPr>
            <sz val="11"/>
            <color theme="1"/>
            <rFont val="Calibri"/>
            <family val="2"/>
            <scheme val="minor"/>
          </rPr>
          <t>Seleccionar un valor del listado</t>
        </r>
      </text>
    </comment>
    <comment ref="D4220" authorId="2">
      <text>
        <r>
          <rPr>
            <sz val="11"/>
            <color theme="1"/>
            <rFont val="Calibri"/>
            <family val="2"/>
            <scheme val="minor"/>
          </rPr>
          <t>Seleccione el tipo de procedimiento</t>
        </r>
      </text>
    </comment>
    <comment ref="E4220" authorId="2">
      <text>
        <r>
          <rPr>
            <sz val="11"/>
            <color theme="1"/>
            <rFont val="Calibri"/>
            <family val="2"/>
            <scheme val="minor"/>
          </rPr>
          <t>Seleccione un valor de la lista</t>
        </r>
      </text>
    </comment>
    <comment ref="F4220" authorId="2">
      <text>
        <r>
          <rPr>
            <sz val="11"/>
            <color theme="1"/>
            <rFont val="Calibri"/>
            <family val="2"/>
            <scheme val="minor"/>
          </rPr>
          <t>Introduzca el código SNIP</t>
        </r>
      </text>
    </comment>
    <comment ref="C4221" authorId="2">
      <text>
        <r>
          <rPr>
            <sz val="11"/>
            <color theme="1"/>
            <rFont val="Calibri"/>
            <family val="2"/>
            <scheme val="minor"/>
          </rPr>
          <t>Introduzca la fecha de inicio del proceso, en formato dd-mm-aaaa</t>
        </r>
      </text>
    </comment>
    <comment ref="F42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2" authorId="2">
      <text/>
    </comment>
    <comment ref="C4223" authorId="2">
      <text>
        <r>
          <rPr>
            <sz val="11"/>
            <color theme="1"/>
            <rFont val="Calibri"/>
            <family val="2"/>
            <scheme val="minor"/>
          </rPr>
          <t>Introduzca la fecha prevista de adjudicación, en formato dd-mm-aaaa</t>
        </r>
      </text>
    </comment>
    <comment ref="F4223" authorId="2">
      <text/>
    </comment>
    <comment ref="F4224" authorId="2">
      <text/>
    </comment>
    <comment ref="A4226" authorId="2">
      <text>
        <r>
          <rPr>
            <sz val="11"/>
            <color theme="1"/>
            <rFont val="Calibri"/>
            <family val="2"/>
            <scheme val="minor"/>
          </rPr>
          <t>Introduzca un codigo UNSPSC</t>
        </r>
      </text>
    </comment>
    <comment ref="B4226" authorId="2">
      <text>
        <r>
          <rPr>
            <sz val="11"/>
            <color theme="1"/>
            <rFont val="Calibri"/>
            <family val="2"/>
            <scheme val="minor"/>
          </rPr>
          <t>Descripción calculada automáticamente a partir de código del artículo</t>
        </r>
      </text>
    </comment>
    <comment ref="C4226" authorId="2">
      <text>
        <r>
          <rPr>
            <sz val="11"/>
            <color theme="1"/>
            <rFont val="Calibri"/>
            <family val="2"/>
            <scheme val="minor"/>
          </rPr>
          <t>Seleccione un valor de la lista</t>
        </r>
      </text>
    </comment>
    <comment ref="D4226" authorId="2">
      <text>
        <r>
          <rPr>
            <sz val="11"/>
            <color theme="1"/>
            <rFont val="Calibri"/>
            <family val="2"/>
            <scheme val="minor"/>
          </rPr>
          <t>Introduzca un número con dos decimales como máximo. Debe ser igual o mayor a la "Cantidad Real Consumida"</t>
        </r>
      </text>
    </comment>
    <comment ref="E4226" authorId="2">
      <text>
        <r>
          <rPr>
            <sz val="11"/>
            <color theme="1"/>
            <rFont val="Calibri"/>
            <family val="2"/>
            <scheme val="minor"/>
          </rPr>
          <t>Introduzca un número con dos decimales como máximo</t>
        </r>
      </text>
    </comment>
    <comment ref="F4226" authorId="2">
      <text>
        <r>
          <rPr>
            <sz val="11"/>
            <color theme="1"/>
            <rFont val="Calibri"/>
            <family val="2"/>
            <scheme val="minor"/>
          </rPr>
          <t>Monto calculado automáticamente por el sistema</t>
        </r>
      </text>
    </comment>
    <comment ref="A4231" authorId="2">
      <text>
        <r>
          <rPr>
            <sz val="11"/>
            <color theme="1"/>
            <rFont val="Calibri"/>
            <family val="2"/>
            <scheme val="minor"/>
          </rPr>
          <t>Introducir un texto con el nombre o referencia de la contratación</t>
        </r>
      </text>
    </comment>
    <comment ref="B4231" authorId="2">
      <text>
        <r>
          <rPr>
            <sz val="11"/>
            <color theme="1"/>
            <rFont val="Calibri"/>
            <family val="2"/>
            <scheme val="minor"/>
          </rPr>
          <t>Introduzca un texto con la finalidad de la contratación</t>
        </r>
      </text>
    </comment>
    <comment ref="C4231" authorId="2">
      <text>
        <r>
          <rPr>
            <sz val="11"/>
            <color theme="1"/>
            <rFont val="Calibri"/>
            <family val="2"/>
            <scheme val="minor"/>
          </rPr>
          <t>Seleccionar un valor del listado</t>
        </r>
      </text>
    </comment>
    <comment ref="D4231" authorId="2">
      <text>
        <r>
          <rPr>
            <sz val="11"/>
            <color theme="1"/>
            <rFont val="Calibri"/>
            <family val="2"/>
            <scheme val="minor"/>
          </rPr>
          <t>Seleccione el tipo de procedimiento</t>
        </r>
      </text>
    </comment>
    <comment ref="E4231" authorId="2">
      <text>
        <r>
          <rPr>
            <sz val="11"/>
            <color theme="1"/>
            <rFont val="Calibri"/>
            <family val="2"/>
            <scheme val="minor"/>
          </rPr>
          <t>Seleccione un valor de la lista</t>
        </r>
      </text>
    </comment>
    <comment ref="F4231" authorId="2">
      <text>
        <r>
          <rPr>
            <sz val="11"/>
            <color theme="1"/>
            <rFont val="Calibri"/>
            <family val="2"/>
            <scheme val="minor"/>
          </rPr>
          <t>Introduzca el código SNIP</t>
        </r>
      </text>
    </comment>
    <comment ref="C4232" authorId="2">
      <text>
        <r>
          <rPr>
            <sz val="11"/>
            <color theme="1"/>
            <rFont val="Calibri"/>
            <family val="2"/>
            <scheme val="minor"/>
          </rPr>
          <t>Introduzca la fecha de inicio del proceso, en formato dd-mm-aaaa</t>
        </r>
      </text>
    </comment>
    <comment ref="F42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3" authorId="2">
      <text/>
    </comment>
    <comment ref="C4234" authorId="2">
      <text>
        <r>
          <rPr>
            <sz val="11"/>
            <color theme="1"/>
            <rFont val="Calibri"/>
            <family val="2"/>
            <scheme val="minor"/>
          </rPr>
          <t>Introduzca la fecha prevista de adjudicación, en formato dd-mm-aaaa</t>
        </r>
      </text>
    </comment>
    <comment ref="F4234" authorId="2">
      <text/>
    </comment>
    <comment ref="F4235" authorId="2">
      <text/>
    </comment>
    <comment ref="A4237" authorId="2">
      <text>
        <r>
          <rPr>
            <sz val="11"/>
            <color theme="1"/>
            <rFont val="Calibri"/>
            <family val="2"/>
            <scheme val="minor"/>
          </rPr>
          <t>Introduzca un codigo UNSPSC</t>
        </r>
      </text>
    </comment>
    <comment ref="B4237" authorId="2">
      <text>
        <r>
          <rPr>
            <sz val="11"/>
            <color theme="1"/>
            <rFont val="Calibri"/>
            <family val="2"/>
            <scheme val="minor"/>
          </rPr>
          <t>Descripción calculada automáticamente a partir de código del artículo</t>
        </r>
      </text>
    </comment>
    <comment ref="C4237" authorId="2">
      <text>
        <r>
          <rPr>
            <sz val="11"/>
            <color theme="1"/>
            <rFont val="Calibri"/>
            <family val="2"/>
            <scheme val="minor"/>
          </rPr>
          <t>Seleccione un valor de la lista</t>
        </r>
      </text>
    </comment>
    <comment ref="D4237" authorId="2">
      <text>
        <r>
          <rPr>
            <sz val="11"/>
            <color theme="1"/>
            <rFont val="Calibri"/>
            <family val="2"/>
            <scheme val="minor"/>
          </rPr>
          <t>Introduzca un número con dos decimales como máximo. Debe ser igual o mayor a la "Cantidad Real Consumida"</t>
        </r>
      </text>
    </comment>
    <comment ref="E4237" authorId="2">
      <text>
        <r>
          <rPr>
            <sz val="11"/>
            <color theme="1"/>
            <rFont val="Calibri"/>
            <family val="2"/>
            <scheme val="minor"/>
          </rPr>
          <t>Introduzca un número con dos decimales como máximo</t>
        </r>
      </text>
    </comment>
    <comment ref="F4237" authorId="2">
      <text>
        <r>
          <rPr>
            <sz val="11"/>
            <color theme="1"/>
            <rFont val="Calibri"/>
            <family val="2"/>
            <scheme val="minor"/>
          </rPr>
          <t>Monto calculado automáticamente por el sistema</t>
        </r>
      </text>
    </comment>
    <comment ref="A4242" authorId="2">
      <text>
        <r>
          <rPr>
            <sz val="11"/>
            <color theme="1"/>
            <rFont val="Calibri"/>
            <family val="2"/>
            <scheme val="minor"/>
          </rPr>
          <t>Introducir un texto con el nombre o referencia de la contratación</t>
        </r>
      </text>
    </comment>
    <comment ref="B4242" authorId="2">
      <text>
        <r>
          <rPr>
            <sz val="11"/>
            <color theme="1"/>
            <rFont val="Calibri"/>
            <family val="2"/>
            <scheme val="minor"/>
          </rPr>
          <t>Introduzca un texto con la finalidad de la contratación</t>
        </r>
      </text>
    </comment>
    <comment ref="C4242" authorId="2">
      <text>
        <r>
          <rPr>
            <sz val="11"/>
            <color theme="1"/>
            <rFont val="Calibri"/>
            <family val="2"/>
            <scheme val="minor"/>
          </rPr>
          <t>Seleccionar un valor del listado</t>
        </r>
      </text>
    </comment>
    <comment ref="D4242" authorId="2">
      <text>
        <r>
          <rPr>
            <sz val="11"/>
            <color theme="1"/>
            <rFont val="Calibri"/>
            <family val="2"/>
            <scheme val="minor"/>
          </rPr>
          <t>Seleccione el tipo de procedimiento</t>
        </r>
      </text>
    </comment>
    <comment ref="E4242" authorId="2">
      <text>
        <r>
          <rPr>
            <sz val="11"/>
            <color theme="1"/>
            <rFont val="Calibri"/>
            <family val="2"/>
            <scheme val="minor"/>
          </rPr>
          <t>Seleccione un valor de la lista</t>
        </r>
      </text>
    </comment>
    <comment ref="F4242" authorId="2">
      <text>
        <r>
          <rPr>
            <sz val="11"/>
            <color theme="1"/>
            <rFont val="Calibri"/>
            <family val="2"/>
            <scheme val="minor"/>
          </rPr>
          <t>Introduzca el código SNIP</t>
        </r>
      </text>
    </comment>
    <comment ref="C4243" authorId="2">
      <text>
        <r>
          <rPr>
            <sz val="11"/>
            <color theme="1"/>
            <rFont val="Calibri"/>
            <family val="2"/>
            <scheme val="minor"/>
          </rPr>
          <t>Introduzca la fecha de inicio del proceso, en formato dd-mm-aaaa</t>
        </r>
      </text>
    </comment>
    <comment ref="F42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4" authorId="2">
      <text/>
    </comment>
    <comment ref="C4245" authorId="2">
      <text>
        <r>
          <rPr>
            <sz val="11"/>
            <color theme="1"/>
            <rFont val="Calibri"/>
            <family val="2"/>
            <scheme val="minor"/>
          </rPr>
          <t>Introduzca la fecha prevista de adjudicación, en formato dd-mm-aaaa</t>
        </r>
      </text>
    </comment>
    <comment ref="F4245" authorId="2">
      <text/>
    </comment>
    <comment ref="F4246" authorId="2">
      <text/>
    </comment>
    <comment ref="A4248" authorId="2">
      <text>
        <r>
          <rPr>
            <sz val="11"/>
            <color theme="1"/>
            <rFont val="Calibri"/>
            <family val="2"/>
            <scheme val="minor"/>
          </rPr>
          <t>Introduzca un codigo UNSPSC</t>
        </r>
      </text>
    </comment>
    <comment ref="B4248" authorId="2">
      <text>
        <r>
          <rPr>
            <sz val="11"/>
            <color theme="1"/>
            <rFont val="Calibri"/>
            <family val="2"/>
            <scheme val="minor"/>
          </rPr>
          <t>Descripción calculada automáticamente a partir de código del artículo</t>
        </r>
      </text>
    </comment>
    <comment ref="C4248" authorId="2">
      <text>
        <r>
          <rPr>
            <sz val="11"/>
            <color theme="1"/>
            <rFont val="Calibri"/>
            <family val="2"/>
            <scheme val="minor"/>
          </rPr>
          <t>Seleccione un valor de la lista</t>
        </r>
      </text>
    </comment>
    <comment ref="D4248" authorId="2">
      <text>
        <r>
          <rPr>
            <sz val="11"/>
            <color theme="1"/>
            <rFont val="Calibri"/>
            <family val="2"/>
            <scheme val="minor"/>
          </rPr>
          <t>Introduzca un número con dos decimales como máximo. Debe ser igual o mayor a la "Cantidad Real Consumida"</t>
        </r>
      </text>
    </comment>
    <comment ref="E4248" authorId="2">
      <text>
        <r>
          <rPr>
            <sz val="11"/>
            <color theme="1"/>
            <rFont val="Calibri"/>
            <family val="2"/>
            <scheme val="minor"/>
          </rPr>
          <t>Introduzca un número con dos decimales como máximo</t>
        </r>
      </text>
    </comment>
    <comment ref="F4248" authorId="2">
      <text>
        <r>
          <rPr>
            <sz val="11"/>
            <color theme="1"/>
            <rFont val="Calibri"/>
            <family val="2"/>
            <scheme val="minor"/>
          </rPr>
          <t>Monto calculado automáticamente por el sistema</t>
        </r>
      </text>
    </comment>
    <comment ref="A4253" authorId="2">
      <text>
        <r>
          <rPr>
            <sz val="11"/>
            <color theme="1"/>
            <rFont val="Calibri"/>
            <family val="2"/>
            <scheme val="minor"/>
          </rPr>
          <t>Introducir un texto con el nombre o referencia de la contratación</t>
        </r>
      </text>
    </comment>
    <comment ref="B4253" authorId="2">
      <text>
        <r>
          <rPr>
            <sz val="11"/>
            <color theme="1"/>
            <rFont val="Calibri"/>
            <family val="2"/>
            <scheme val="minor"/>
          </rPr>
          <t>Introduzca un texto con la finalidad de la contratación</t>
        </r>
      </text>
    </comment>
    <comment ref="C4253" authorId="2">
      <text>
        <r>
          <rPr>
            <sz val="11"/>
            <color theme="1"/>
            <rFont val="Calibri"/>
            <family val="2"/>
            <scheme val="minor"/>
          </rPr>
          <t>Seleccionar un valor del listado</t>
        </r>
      </text>
    </comment>
    <comment ref="D4253" authorId="2">
      <text>
        <r>
          <rPr>
            <sz val="11"/>
            <color theme="1"/>
            <rFont val="Calibri"/>
            <family val="2"/>
            <scheme val="minor"/>
          </rPr>
          <t>Seleccione el tipo de procedimiento</t>
        </r>
      </text>
    </comment>
    <comment ref="E4253" authorId="2">
      <text>
        <r>
          <rPr>
            <sz val="11"/>
            <color theme="1"/>
            <rFont val="Calibri"/>
            <family val="2"/>
            <scheme val="minor"/>
          </rPr>
          <t>Seleccione un valor de la lista</t>
        </r>
      </text>
    </comment>
    <comment ref="F4253" authorId="2">
      <text>
        <r>
          <rPr>
            <sz val="11"/>
            <color theme="1"/>
            <rFont val="Calibri"/>
            <family val="2"/>
            <scheme val="minor"/>
          </rPr>
          <t>Introduzca el código SNIP</t>
        </r>
      </text>
    </comment>
    <comment ref="C4254" authorId="2">
      <text>
        <r>
          <rPr>
            <sz val="11"/>
            <color theme="1"/>
            <rFont val="Calibri"/>
            <family val="2"/>
            <scheme val="minor"/>
          </rPr>
          <t>Introduzca la fecha de inicio del proceso, en formato dd-mm-aaaa</t>
        </r>
      </text>
    </comment>
    <comment ref="F42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5" authorId="2">
      <text/>
    </comment>
    <comment ref="C4256" authorId="2">
      <text>
        <r>
          <rPr>
            <sz val="11"/>
            <color theme="1"/>
            <rFont val="Calibri"/>
            <family val="2"/>
            <scheme val="minor"/>
          </rPr>
          <t>Introduzca la fecha prevista de adjudicación, en formato dd-mm-aaaa</t>
        </r>
      </text>
    </comment>
    <comment ref="F4256" authorId="2">
      <text/>
    </comment>
    <comment ref="F4257" authorId="2">
      <text/>
    </comment>
    <comment ref="A4259" authorId="2">
      <text>
        <r>
          <rPr>
            <sz val="11"/>
            <color theme="1"/>
            <rFont val="Calibri"/>
            <family val="2"/>
            <scheme val="minor"/>
          </rPr>
          <t>Introduzca un codigo UNSPSC</t>
        </r>
      </text>
    </comment>
    <comment ref="B4259" authorId="2">
      <text>
        <r>
          <rPr>
            <sz val="11"/>
            <color theme="1"/>
            <rFont val="Calibri"/>
            <family val="2"/>
            <scheme val="minor"/>
          </rPr>
          <t>Descripción calculada automáticamente a partir de código del artículo</t>
        </r>
      </text>
    </comment>
    <comment ref="C4259" authorId="2">
      <text>
        <r>
          <rPr>
            <sz val="11"/>
            <color theme="1"/>
            <rFont val="Calibri"/>
            <family val="2"/>
            <scheme val="minor"/>
          </rPr>
          <t>Seleccione un valor de la lista</t>
        </r>
      </text>
    </comment>
    <comment ref="D4259" authorId="2">
      <text>
        <r>
          <rPr>
            <sz val="11"/>
            <color theme="1"/>
            <rFont val="Calibri"/>
            <family val="2"/>
            <scheme val="minor"/>
          </rPr>
          <t>Introduzca un número con dos decimales como máximo. Debe ser igual o mayor a la "Cantidad Real Consumida"</t>
        </r>
      </text>
    </comment>
    <comment ref="E4259" authorId="2">
      <text>
        <r>
          <rPr>
            <sz val="11"/>
            <color theme="1"/>
            <rFont val="Calibri"/>
            <family val="2"/>
            <scheme val="minor"/>
          </rPr>
          <t>Introduzca un número con dos decimales como máximo</t>
        </r>
      </text>
    </comment>
    <comment ref="F4259" authorId="2">
      <text>
        <r>
          <rPr>
            <sz val="11"/>
            <color theme="1"/>
            <rFont val="Calibri"/>
            <family val="2"/>
            <scheme val="minor"/>
          </rPr>
          <t>Monto calculado automáticamente por el sistema</t>
        </r>
      </text>
    </comment>
    <comment ref="A4264" authorId="2">
      <text>
        <r>
          <rPr>
            <sz val="11"/>
            <color theme="1"/>
            <rFont val="Calibri"/>
            <family val="2"/>
            <scheme val="minor"/>
          </rPr>
          <t>Introducir un texto con el nombre o referencia de la contratación</t>
        </r>
      </text>
    </comment>
    <comment ref="B4264" authorId="2">
      <text>
        <r>
          <rPr>
            <sz val="11"/>
            <color theme="1"/>
            <rFont val="Calibri"/>
            <family val="2"/>
            <scheme val="minor"/>
          </rPr>
          <t>Introduzca un texto con la finalidad de la contratación</t>
        </r>
      </text>
    </comment>
    <comment ref="C4264" authorId="2">
      <text>
        <r>
          <rPr>
            <sz val="11"/>
            <color theme="1"/>
            <rFont val="Calibri"/>
            <family val="2"/>
            <scheme val="minor"/>
          </rPr>
          <t>Seleccionar un valor del listado</t>
        </r>
      </text>
    </comment>
    <comment ref="D4264" authorId="2">
      <text>
        <r>
          <rPr>
            <sz val="11"/>
            <color theme="1"/>
            <rFont val="Calibri"/>
            <family val="2"/>
            <scheme val="minor"/>
          </rPr>
          <t>Seleccione el tipo de procedimiento</t>
        </r>
      </text>
    </comment>
    <comment ref="E4264" authorId="2">
      <text>
        <r>
          <rPr>
            <sz val="11"/>
            <color theme="1"/>
            <rFont val="Calibri"/>
            <family val="2"/>
            <scheme val="minor"/>
          </rPr>
          <t>Seleccione un valor de la lista</t>
        </r>
      </text>
    </comment>
    <comment ref="F4264" authorId="2">
      <text>
        <r>
          <rPr>
            <sz val="11"/>
            <color theme="1"/>
            <rFont val="Calibri"/>
            <family val="2"/>
            <scheme val="minor"/>
          </rPr>
          <t>Introduzca el código SNIP</t>
        </r>
      </text>
    </comment>
    <comment ref="C4265" authorId="2">
      <text>
        <r>
          <rPr>
            <sz val="11"/>
            <color theme="1"/>
            <rFont val="Calibri"/>
            <family val="2"/>
            <scheme val="minor"/>
          </rPr>
          <t>Introduzca la fecha de inicio del proceso, en formato dd-mm-aaaa</t>
        </r>
      </text>
    </comment>
    <comment ref="F42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6" authorId="2">
      <text/>
    </comment>
    <comment ref="C4267" authorId="2">
      <text>
        <r>
          <rPr>
            <sz val="11"/>
            <color theme="1"/>
            <rFont val="Calibri"/>
            <family val="2"/>
            <scheme val="minor"/>
          </rPr>
          <t>Introduzca la fecha prevista de adjudicación, en formato dd-mm-aaaa</t>
        </r>
      </text>
    </comment>
    <comment ref="F4267" authorId="2">
      <text/>
    </comment>
    <comment ref="F4268" authorId="2">
      <text/>
    </comment>
    <comment ref="A4270" authorId="2">
      <text>
        <r>
          <rPr>
            <sz val="11"/>
            <color theme="1"/>
            <rFont val="Calibri"/>
            <family val="2"/>
            <scheme val="minor"/>
          </rPr>
          <t>Introduzca un codigo UNSPSC</t>
        </r>
      </text>
    </comment>
    <comment ref="B4270" authorId="2">
      <text>
        <r>
          <rPr>
            <sz val="11"/>
            <color theme="1"/>
            <rFont val="Calibri"/>
            <family val="2"/>
            <scheme val="minor"/>
          </rPr>
          <t>Descripción calculada automáticamente a partir de código del artículo</t>
        </r>
      </text>
    </comment>
    <comment ref="C4270" authorId="2">
      <text>
        <r>
          <rPr>
            <sz val="11"/>
            <color theme="1"/>
            <rFont val="Calibri"/>
            <family val="2"/>
            <scheme val="minor"/>
          </rPr>
          <t>Seleccione un valor de la lista</t>
        </r>
      </text>
    </comment>
    <comment ref="D4270" authorId="2">
      <text>
        <r>
          <rPr>
            <sz val="11"/>
            <color theme="1"/>
            <rFont val="Calibri"/>
            <family val="2"/>
            <scheme val="minor"/>
          </rPr>
          <t>Introduzca un número con dos decimales como máximo. Debe ser igual o mayor a la "Cantidad Real Consumida"</t>
        </r>
      </text>
    </comment>
    <comment ref="E4270" authorId="2">
      <text>
        <r>
          <rPr>
            <sz val="11"/>
            <color theme="1"/>
            <rFont val="Calibri"/>
            <family val="2"/>
            <scheme val="minor"/>
          </rPr>
          <t>Introduzca un número con dos decimales como máximo</t>
        </r>
      </text>
    </comment>
    <comment ref="F4270" authorId="2">
      <text>
        <r>
          <rPr>
            <sz val="11"/>
            <color theme="1"/>
            <rFont val="Calibri"/>
            <family val="2"/>
            <scheme val="minor"/>
          </rPr>
          <t>Monto calculado automáticamente por el sistema</t>
        </r>
      </text>
    </comment>
    <comment ref="A4276" authorId="2">
      <text>
        <r>
          <rPr>
            <sz val="11"/>
            <color theme="1"/>
            <rFont val="Calibri"/>
            <family val="2"/>
            <scheme val="minor"/>
          </rPr>
          <t>Introducir un texto con el nombre o referencia de la contratación</t>
        </r>
      </text>
    </comment>
    <comment ref="B4276" authorId="2">
      <text>
        <r>
          <rPr>
            <sz val="11"/>
            <color theme="1"/>
            <rFont val="Calibri"/>
            <family val="2"/>
            <scheme val="minor"/>
          </rPr>
          <t>Introduzca un texto con la finalidad de la contratación</t>
        </r>
      </text>
    </comment>
    <comment ref="C4276" authorId="2">
      <text>
        <r>
          <rPr>
            <sz val="11"/>
            <color theme="1"/>
            <rFont val="Calibri"/>
            <family val="2"/>
            <scheme val="minor"/>
          </rPr>
          <t>Seleccionar un valor del listado</t>
        </r>
      </text>
    </comment>
    <comment ref="D4276" authorId="2">
      <text>
        <r>
          <rPr>
            <sz val="11"/>
            <color theme="1"/>
            <rFont val="Calibri"/>
            <family val="2"/>
            <scheme val="minor"/>
          </rPr>
          <t>Seleccione el tipo de procedimiento</t>
        </r>
      </text>
    </comment>
    <comment ref="E4276" authorId="2">
      <text>
        <r>
          <rPr>
            <sz val="11"/>
            <color theme="1"/>
            <rFont val="Calibri"/>
            <family val="2"/>
            <scheme val="minor"/>
          </rPr>
          <t>Seleccione un valor de la lista</t>
        </r>
      </text>
    </comment>
    <comment ref="F4276" authorId="2">
      <text>
        <r>
          <rPr>
            <sz val="11"/>
            <color theme="1"/>
            <rFont val="Calibri"/>
            <family val="2"/>
            <scheme val="minor"/>
          </rPr>
          <t>Introduzca el código SNIP</t>
        </r>
      </text>
    </comment>
    <comment ref="C4277" authorId="2">
      <text>
        <r>
          <rPr>
            <sz val="11"/>
            <color theme="1"/>
            <rFont val="Calibri"/>
            <family val="2"/>
            <scheme val="minor"/>
          </rPr>
          <t>Introduzca la fecha de inicio del proceso, en formato dd-mm-aaaa</t>
        </r>
      </text>
    </comment>
    <comment ref="F42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8" authorId="2">
      <text/>
    </comment>
    <comment ref="C4279" authorId="2">
      <text>
        <r>
          <rPr>
            <sz val="11"/>
            <color theme="1"/>
            <rFont val="Calibri"/>
            <family val="2"/>
            <scheme val="minor"/>
          </rPr>
          <t>Introduzca la fecha prevista de adjudicación, en formato dd-mm-aaaa</t>
        </r>
      </text>
    </comment>
    <comment ref="F4279" authorId="2">
      <text/>
    </comment>
    <comment ref="F4280" authorId="2">
      <text/>
    </comment>
    <comment ref="A4282" authorId="2">
      <text>
        <r>
          <rPr>
            <sz val="11"/>
            <color theme="1"/>
            <rFont val="Calibri"/>
            <family val="2"/>
            <scheme val="minor"/>
          </rPr>
          <t>Introduzca un codigo UNSPSC</t>
        </r>
      </text>
    </comment>
    <comment ref="B4282" authorId="2">
      <text>
        <r>
          <rPr>
            <sz val="11"/>
            <color theme="1"/>
            <rFont val="Calibri"/>
            <family val="2"/>
            <scheme val="minor"/>
          </rPr>
          <t>Descripción calculada automáticamente a partir de código del artículo</t>
        </r>
      </text>
    </comment>
    <comment ref="C4282" authorId="2">
      <text>
        <r>
          <rPr>
            <sz val="11"/>
            <color theme="1"/>
            <rFont val="Calibri"/>
            <family val="2"/>
            <scheme val="minor"/>
          </rPr>
          <t>Seleccione un valor de la lista</t>
        </r>
      </text>
    </comment>
    <comment ref="D4282" authorId="2">
      <text>
        <r>
          <rPr>
            <sz val="11"/>
            <color theme="1"/>
            <rFont val="Calibri"/>
            <family val="2"/>
            <scheme val="minor"/>
          </rPr>
          <t>Introduzca un número con dos decimales como máximo. Debe ser igual o mayor a la "Cantidad Real Consumida"</t>
        </r>
      </text>
    </comment>
    <comment ref="E4282" authorId="2">
      <text>
        <r>
          <rPr>
            <sz val="11"/>
            <color theme="1"/>
            <rFont val="Calibri"/>
            <family val="2"/>
            <scheme val="minor"/>
          </rPr>
          <t>Introduzca un número con dos decimales como máximo</t>
        </r>
      </text>
    </comment>
    <comment ref="F4282" authorId="2">
      <text>
        <r>
          <rPr>
            <sz val="11"/>
            <color theme="1"/>
            <rFont val="Calibri"/>
            <family val="2"/>
            <scheme val="minor"/>
          </rPr>
          <t>Monto calculado automáticamente por el sistema</t>
        </r>
      </text>
    </comment>
    <comment ref="A4287" authorId="2">
      <text>
        <r>
          <rPr>
            <sz val="11"/>
            <color theme="1"/>
            <rFont val="Calibri"/>
            <family val="2"/>
            <scheme val="minor"/>
          </rPr>
          <t>Introducir un texto con el nombre o referencia de la contratación</t>
        </r>
      </text>
    </comment>
    <comment ref="B4287" authorId="2">
      <text>
        <r>
          <rPr>
            <sz val="11"/>
            <color theme="1"/>
            <rFont val="Calibri"/>
            <family val="2"/>
            <scheme val="minor"/>
          </rPr>
          <t>Introduzca un texto con la finalidad de la contratación</t>
        </r>
      </text>
    </comment>
    <comment ref="C4287" authorId="2">
      <text>
        <r>
          <rPr>
            <sz val="11"/>
            <color theme="1"/>
            <rFont val="Calibri"/>
            <family val="2"/>
            <scheme val="minor"/>
          </rPr>
          <t>Seleccionar un valor del listado</t>
        </r>
      </text>
    </comment>
    <comment ref="D4287" authorId="2">
      <text>
        <r>
          <rPr>
            <sz val="11"/>
            <color theme="1"/>
            <rFont val="Calibri"/>
            <family val="2"/>
            <scheme val="minor"/>
          </rPr>
          <t>Seleccione el tipo de procedimiento</t>
        </r>
      </text>
    </comment>
    <comment ref="E4287" authorId="2">
      <text>
        <r>
          <rPr>
            <sz val="11"/>
            <color theme="1"/>
            <rFont val="Calibri"/>
            <family val="2"/>
            <scheme val="minor"/>
          </rPr>
          <t>Seleccione un valor de la lista</t>
        </r>
      </text>
    </comment>
    <comment ref="F4287" authorId="2">
      <text>
        <r>
          <rPr>
            <sz val="11"/>
            <color theme="1"/>
            <rFont val="Calibri"/>
            <family val="2"/>
            <scheme val="minor"/>
          </rPr>
          <t>Introduzca el código SNIP</t>
        </r>
      </text>
    </comment>
    <comment ref="C4288" authorId="2">
      <text>
        <r>
          <rPr>
            <sz val="11"/>
            <color theme="1"/>
            <rFont val="Calibri"/>
            <family val="2"/>
            <scheme val="minor"/>
          </rPr>
          <t>Introduzca la fecha de inicio del proceso, en formato dd-mm-aaaa</t>
        </r>
      </text>
    </comment>
    <comment ref="F42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9" authorId="2">
      <text/>
    </comment>
    <comment ref="C4290" authorId="2">
      <text>
        <r>
          <rPr>
            <sz val="11"/>
            <color theme="1"/>
            <rFont val="Calibri"/>
            <family val="2"/>
            <scheme val="minor"/>
          </rPr>
          <t>Introduzca la fecha prevista de adjudicación, en formato dd-mm-aaaa</t>
        </r>
      </text>
    </comment>
    <comment ref="F4290" authorId="2">
      <text/>
    </comment>
    <comment ref="F4291" authorId="2">
      <text/>
    </comment>
    <comment ref="A4293" authorId="2">
      <text>
        <r>
          <rPr>
            <sz val="11"/>
            <color theme="1"/>
            <rFont val="Calibri"/>
            <family val="2"/>
            <scheme val="minor"/>
          </rPr>
          <t>Introduzca un codigo UNSPSC</t>
        </r>
      </text>
    </comment>
    <comment ref="B4293" authorId="2">
      <text>
        <r>
          <rPr>
            <sz val="11"/>
            <color theme="1"/>
            <rFont val="Calibri"/>
            <family val="2"/>
            <scheme val="minor"/>
          </rPr>
          <t>Descripción calculada automáticamente a partir de código del artículo</t>
        </r>
      </text>
    </comment>
    <comment ref="C4293" authorId="2">
      <text>
        <r>
          <rPr>
            <sz val="11"/>
            <color theme="1"/>
            <rFont val="Calibri"/>
            <family val="2"/>
            <scheme val="minor"/>
          </rPr>
          <t>Seleccione un valor de la lista</t>
        </r>
      </text>
    </comment>
    <comment ref="D4293" authorId="2">
      <text>
        <r>
          <rPr>
            <sz val="11"/>
            <color theme="1"/>
            <rFont val="Calibri"/>
            <family val="2"/>
            <scheme val="minor"/>
          </rPr>
          <t>Introduzca un número con dos decimales como máximo. Debe ser igual o mayor a la "Cantidad Real Consumida"</t>
        </r>
      </text>
    </comment>
    <comment ref="E4293" authorId="2">
      <text>
        <r>
          <rPr>
            <sz val="11"/>
            <color theme="1"/>
            <rFont val="Calibri"/>
            <family val="2"/>
            <scheme val="minor"/>
          </rPr>
          <t>Introduzca un número con dos decimales como máximo</t>
        </r>
      </text>
    </comment>
    <comment ref="F4293" authorId="2">
      <text>
        <r>
          <rPr>
            <sz val="11"/>
            <color theme="1"/>
            <rFont val="Calibri"/>
            <family val="2"/>
            <scheme val="minor"/>
          </rPr>
          <t>Monto calculado automáticamente por el sistema</t>
        </r>
      </text>
    </comment>
    <comment ref="A4298" authorId="2">
      <text>
        <r>
          <rPr>
            <sz val="11"/>
            <color theme="1"/>
            <rFont val="Calibri"/>
            <family val="2"/>
            <scheme val="minor"/>
          </rPr>
          <t>Introducir un texto con el nombre o referencia de la contratación</t>
        </r>
      </text>
    </comment>
    <comment ref="B4298" authorId="2">
      <text>
        <r>
          <rPr>
            <sz val="11"/>
            <color theme="1"/>
            <rFont val="Calibri"/>
            <family val="2"/>
            <scheme val="minor"/>
          </rPr>
          <t>Introduzca un texto con la finalidad de la contratación</t>
        </r>
      </text>
    </comment>
    <comment ref="C4298" authorId="2">
      <text>
        <r>
          <rPr>
            <sz val="11"/>
            <color theme="1"/>
            <rFont val="Calibri"/>
            <family val="2"/>
            <scheme val="minor"/>
          </rPr>
          <t>Seleccionar un valor del listado</t>
        </r>
      </text>
    </comment>
    <comment ref="D4298" authorId="2">
      <text>
        <r>
          <rPr>
            <sz val="11"/>
            <color theme="1"/>
            <rFont val="Calibri"/>
            <family val="2"/>
            <scheme val="minor"/>
          </rPr>
          <t>Seleccione el tipo de procedimiento</t>
        </r>
      </text>
    </comment>
    <comment ref="E4298" authorId="2">
      <text>
        <r>
          <rPr>
            <sz val="11"/>
            <color theme="1"/>
            <rFont val="Calibri"/>
            <family val="2"/>
            <scheme val="minor"/>
          </rPr>
          <t>Seleccione un valor de la lista</t>
        </r>
      </text>
    </comment>
    <comment ref="F4298" authorId="2">
      <text>
        <r>
          <rPr>
            <sz val="11"/>
            <color theme="1"/>
            <rFont val="Calibri"/>
            <family val="2"/>
            <scheme val="minor"/>
          </rPr>
          <t>Introduzca el código SNIP</t>
        </r>
      </text>
    </comment>
    <comment ref="C4299" authorId="2">
      <text>
        <r>
          <rPr>
            <sz val="11"/>
            <color theme="1"/>
            <rFont val="Calibri"/>
            <family val="2"/>
            <scheme val="minor"/>
          </rPr>
          <t>Introduzca la fecha de inicio del proceso, en formato dd-mm-aaaa</t>
        </r>
      </text>
    </comment>
    <comment ref="F42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0" authorId="2">
      <text/>
    </comment>
    <comment ref="C4301" authorId="2">
      <text>
        <r>
          <rPr>
            <sz val="11"/>
            <color theme="1"/>
            <rFont val="Calibri"/>
            <family val="2"/>
            <scheme val="minor"/>
          </rPr>
          <t>Introduzca la fecha prevista de adjudicación, en formato dd-mm-aaaa</t>
        </r>
      </text>
    </comment>
    <comment ref="F4301" authorId="2">
      <text/>
    </comment>
    <comment ref="F4302" authorId="2">
      <text/>
    </comment>
    <comment ref="A4304" authorId="2">
      <text>
        <r>
          <rPr>
            <sz val="11"/>
            <color theme="1"/>
            <rFont val="Calibri"/>
            <family val="2"/>
            <scheme val="minor"/>
          </rPr>
          <t>Introduzca un codigo UNSPSC</t>
        </r>
      </text>
    </comment>
    <comment ref="B4304" authorId="2">
      <text>
        <r>
          <rPr>
            <sz val="11"/>
            <color theme="1"/>
            <rFont val="Calibri"/>
            <family val="2"/>
            <scheme val="minor"/>
          </rPr>
          <t>Descripción calculada automáticamente a partir de código del artículo</t>
        </r>
      </text>
    </comment>
    <comment ref="C4304" authorId="2">
      <text>
        <r>
          <rPr>
            <sz val="11"/>
            <color theme="1"/>
            <rFont val="Calibri"/>
            <family val="2"/>
            <scheme val="minor"/>
          </rPr>
          <t>Seleccione un valor de la lista</t>
        </r>
      </text>
    </comment>
    <comment ref="D4304" authorId="2">
      <text>
        <r>
          <rPr>
            <sz val="11"/>
            <color theme="1"/>
            <rFont val="Calibri"/>
            <family val="2"/>
            <scheme val="minor"/>
          </rPr>
          <t>Introduzca un número con dos decimales como máximo. Debe ser igual o mayor a la "Cantidad Real Consumida"</t>
        </r>
      </text>
    </comment>
    <comment ref="E4304" authorId="2">
      <text>
        <r>
          <rPr>
            <sz val="11"/>
            <color theme="1"/>
            <rFont val="Calibri"/>
            <family val="2"/>
            <scheme val="minor"/>
          </rPr>
          <t>Introduzca un número con dos decimales como máximo</t>
        </r>
      </text>
    </comment>
    <comment ref="F4304" authorId="2">
      <text>
        <r>
          <rPr>
            <sz val="11"/>
            <color theme="1"/>
            <rFont val="Calibri"/>
            <family val="2"/>
            <scheme val="minor"/>
          </rPr>
          <t>Monto calculado automáticamente por el sistema</t>
        </r>
      </text>
    </comment>
    <comment ref="A4309" authorId="2">
      <text>
        <r>
          <rPr>
            <sz val="11"/>
            <color theme="1"/>
            <rFont val="Calibri"/>
            <family val="2"/>
            <scheme val="minor"/>
          </rPr>
          <t>Introducir un texto con el nombre o referencia de la contratación</t>
        </r>
      </text>
    </comment>
    <comment ref="B4309" authorId="2">
      <text>
        <r>
          <rPr>
            <sz val="11"/>
            <color theme="1"/>
            <rFont val="Calibri"/>
            <family val="2"/>
            <scheme val="minor"/>
          </rPr>
          <t>Introduzca un texto con la finalidad de la contratación</t>
        </r>
      </text>
    </comment>
    <comment ref="C4309" authorId="2">
      <text>
        <r>
          <rPr>
            <sz val="11"/>
            <color theme="1"/>
            <rFont val="Calibri"/>
            <family val="2"/>
            <scheme val="minor"/>
          </rPr>
          <t>Seleccionar un valor del listado</t>
        </r>
      </text>
    </comment>
    <comment ref="D4309" authorId="2">
      <text>
        <r>
          <rPr>
            <sz val="11"/>
            <color theme="1"/>
            <rFont val="Calibri"/>
            <family val="2"/>
            <scheme val="minor"/>
          </rPr>
          <t>Seleccione el tipo de procedimiento</t>
        </r>
      </text>
    </comment>
    <comment ref="E4309" authorId="2">
      <text>
        <r>
          <rPr>
            <sz val="11"/>
            <color theme="1"/>
            <rFont val="Calibri"/>
            <family val="2"/>
            <scheme val="minor"/>
          </rPr>
          <t>Seleccione un valor de la lista</t>
        </r>
      </text>
    </comment>
    <comment ref="F4309" authorId="2">
      <text>
        <r>
          <rPr>
            <sz val="11"/>
            <color theme="1"/>
            <rFont val="Calibri"/>
            <family val="2"/>
            <scheme val="minor"/>
          </rPr>
          <t>Introduzca el código SNIP</t>
        </r>
      </text>
    </comment>
    <comment ref="C4310" authorId="2">
      <text>
        <r>
          <rPr>
            <sz val="11"/>
            <color theme="1"/>
            <rFont val="Calibri"/>
            <family val="2"/>
            <scheme val="minor"/>
          </rPr>
          <t>Introduzca la fecha de inicio del proceso, en formato dd-mm-aaaa</t>
        </r>
      </text>
    </comment>
    <comment ref="F43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1" authorId="2">
      <text/>
    </comment>
    <comment ref="C4312" authorId="2">
      <text>
        <r>
          <rPr>
            <sz val="11"/>
            <color theme="1"/>
            <rFont val="Calibri"/>
            <family val="2"/>
            <scheme val="minor"/>
          </rPr>
          <t>Introduzca la fecha prevista de adjudicación, en formato dd-mm-aaaa</t>
        </r>
      </text>
    </comment>
    <comment ref="F4312" authorId="2">
      <text/>
    </comment>
    <comment ref="F4313" authorId="2">
      <text/>
    </comment>
    <comment ref="A4315" authorId="2">
      <text>
        <r>
          <rPr>
            <sz val="11"/>
            <color theme="1"/>
            <rFont val="Calibri"/>
            <family val="2"/>
            <scheme val="minor"/>
          </rPr>
          <t>Introduzca un codigo UNSPSC</t>
        </r>
      </text>
    </comment>
    <comment ref="B4315" authorId="2">
      <text>
        <r>
          <rPr>
            <sz val="11"/>
            <color theme="1"/>
            <rFont val="Calibri"/>
            <family val="2"/>
            <scheme val="minor"/>
          </rPr>
          <t>Descripción calculada automáticamente a partir de código del artículo</t>
        </r>
      </text>
    </comment>
    <comment ref="C4315" authorId="2">
      <text>
        <r>
          <rPr>
            <sz val="11"/>
            <color theme="1"/>
            <rFont val="Calibri"/>
            <family val="2"/>
            <scheme val="minor"/>
          </rPr>
          <t>Seleccione un valor de la lista</t>
        </r>
      </text>
    </comment>
    <comment ref="D4315" authorId="2">
      <text>
        <r>
          <rPr>
            <sz val="11"/>
            <color theme="1"/>
            <rFont val="Calibri"/>
            <family val="2"/>
            <scheme val="minor"/>
          </rPr>
          <t>Introduzca un número con dos decimales como máximo. Debe ser igual o mayor a la "Cantidad Real Consumida"</t>
        </r>
      </text>
    </comment>
    <comment ref="E4315" authorId="2">
      <text>
        <r>
          <rPr>
            <sz val="11"/>
            <color theme="1"/>
            <rFont val="Calibri"/>
            <family val="2"/>
            <scheme val="minor"/>
          </rPr>
          <t>Introduzca un número con dos decimales como máximo</t>
        </r>
      </text>
    </comment>
    <comment ref="F4315" authorId="2">
      <text>
        <r>
          <rPr>
            <sz val="11"/>
            <color theme="1"/>
            <rFont val="Calibri"/>
            <family val="2"/>
            <scheme val="minor"/>
          </rPr>
          <t>Monto calculado automáticamente por el sistema</t>
        </r>
      </text>
    </comment>
    <comment ref="A4320" authorId="2">
      <text>
        <r>
          <rPr>
            <sz val="11"/>
            <color theme="1"/>
            <rFont val="Calibri"/>
            <family val="2"/>
            <scheme val="minor"/>
          </rPr>
          <t>Introducir un texto con el nombre o referencia de la contratación</t>
        </r>
      </text>
    </comment>
    <comment ref="B4320" authorId="2">
      <text>
        <r>
          <rPr>
            <sz val="11"/>
            <color theme="1"/>
            <rFont val="Calibri"/>
            <family val="2"/>
            <scheme val="minor"/>
          </rPr>
          <t>Introduzca un texto con la finalidad de la contratación</t>
        </r>
      </text>
    </comment>
    <comment ref="C4320" authorId="2">
      <text>
        <r>
          <rPr>
            <sz val="11"/>
            <color theme="1"/>
            <rFont val="Calibri"/>
            <family val="2"/>
            <scheme val="minor"/>
          </rPr>
          <t>Seleccionar un valor del listado</t>
        </r>
      </text>
    </comment>
    <comment ref="D4320" authorId="2">
      <text>
        <r>
          <rPr>
            <sz val="11"/>
            <color theme="1"/>
            <rFont val="Calibri"/>
            <family val="2"/>
            <scheme val="minor"/>
          </rPr>
          <t>Seleccione el tipo de procedimiento</t>
        </r>
      </text>
    </comment>
    <comment ref="E4320" authorId="2">
      <text>
        <r>
          <rPr>
            <sz val="11"/>
            <color theme="1"/>
            <rFont val="Calibri"/>
            <family val="2"/>
            <scheme val="minor"/>
          </rPr>
          <t>Seleccione un valor de la lista</t>
        </r>
      </text>
    </comment>
    <comment ref="F4320" authorId="2">
      <text>
        <r>
          <rPr>
            <sz val="11"/>
            <color theme="1"/>
            <rFont val="Calibri"/>
            <family val="2"/>
            <scheme val="minor"/>
          </rPr>
          <t>Introduzca el código SNIP</t>
        </r>
      </text>
    </comment>
    <comment ref="C4321" authorId="2">
      <text>
        <r>
          <rPr>
            <sz val="11"/>
            <color theme="1"/>
            <rFont val="Calibri"/>
            <family val="2"/>
            <scheme val="minor"/>
          </rPr>
          <t>Introduzca la fecha de inicio del proceso, en formato dd-mm-aaaa</t>
        </r>
      </text>
    </comment>
    <comment ref="F43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2" authorId="2">
      <text/>
    </comment>
    <comment ref="C4323" authorId="2">
      <text>
        <r>
          <rPr>
            <sz val="11"/>
            <color theme="1"/>
            <rFont val="Calibri"/>
            <family val="2"/>
            <scheme val="minor"/>
          </rPr>
          <t>Introduzca la fecha prevista de adjudicación, en formato dd-mm-aaaa</t>
        </r>
      </text>
    </comment>
    <comment ref="F4323" authorId="2">
      <text/>
    </comment>
    <comment ref="F4324" authorId="2">
      <text/>
    </comment>
    <comment ref="A4326" authorId="2">
      <text>
        <r>
          <rPr>
            <sz val="11"/>
            <color theme="1"/>
            <rFont val="Calibri"/>
            <family val="2"/>
            <scheme val="minor"/>
          </rPr>
          <t>Introduzca un codigo UNSPSC</t>
        </r>
      </text>
    </comment>
    <comment ref="B4326" authorId="2">
      <text>
        <r>
          <rPr>
            <sz val="11"/>
            <color theme="1"/>
            <rFont val="Calibri"/>
            <family val="2"/>
            <scheme val="minor"/>
          </rPr>
          <t>Descripción calculada automáticamente a partir de código del artículo</t>
        </r>
      </text>
    </comment>
    <comment ref="C4326" authorId="2">
      <text>
        <r>
          <rPr>
            <sz val="11"/>
            <color theme="1"/>
            <rFont val="Calibri"/>
            <family val="2"/>
            <scheme val="minor"/>
          </rPr>
          <t>Seleccione un valor de la lista</t>
        </r>
      </text>
    </comment>
    <comment ref="D4326" authorId="2">
      <text>
        <r>
          <rPr>
            <sz val="11"/>
            <color theme="1"/>
            <rFont val="Calibri"/>
            <family val="2"/>
            <scheme val="minor"/>
          </rPr>
          <t>Introduzca un número con dos decimales como máximo. Debe ser igual o mayor a la "Cantidad Real Consumida"</t>
        </r>
      </text>
    </comment>
    <comment ref="E4326" authorId="2">
      <text>
        <r>
          <rPr>
            <sz val="11"/>
            <color theme="1"/>
            <rFont val="Calibri"/>
            <family val="2"/>
            <scheme val="minor"/>
          </rPr>
          <t>Introduzca un número con dos decimales como máximo</t>
        </r>
      </text>
    </comment>
    <comment ref="F4326" authorId="2">
      <text>
        <r>
          <rPr>
            <sz val="11"/>
            <color theme="1"/>
            <rFont val="Calibri"/>
            <family val="2"/>
            <scheme val="minor"/>
          </rPr>
          <t>Monto calculado automáticamente por el sistema</t>
        </r>
      </text>
    </comment>
    <comment ref="A4331" authorId="2">
      <text>
        <r>
          <rPr>
            <sz val="11"/>
            <color theme="1"/>
            <rFont val="Calibri"/>
            <family val="2"/>
            <scheme val="minor"/>
          </rPr>
          <t>Introducir un texto con el nombre o referencia de la contratación</t>
        </r>
      </text>
    </comment>
    <comment ref="B4331" authorId="2">
      <text>
        <r>
          <rPr>
            <sz val="11"/>
            <color theme="1"/>
            <rFont val="Calibri"/>
            <family val="2"/>
            <scheme val="minor"/>
          </rPr>
          <t>Introduzca un texto con la finalidad de la contratación</t>
        </r>
      </text>
    </comment>
    <comment ref="C4331" authorId="2">
      <text>
        <r>
          <rPr>
            <sz val="11"/>
            <color theme="1"/>
            <rFont val="Calibri"/>
            <family val="2"/>
            <scheme val="minor"/>
          </rPr>
          <t>Seleccionar un valor del listado</t>
        </r>
      </text>
    </comment>
    <comment ref="D4331" authorId="2">
      <text>
        <r>
          <rPr>
            <sz val="11"/>
            <color theme="1"/>
            <rFont val="Calibri"/>
            <family val="2"/>
            <scheme val="minor"/>
          </rPr>
          <t>Seleccione el tipo de procedimiento</t>
        </r>
      </text>
    </comment>
    <comment ref="E4331" authorId="2">
      <text>
        <r>
          <rPr>
            <sz val="11"/>
            <color theme="1"/>
            <rFont val="Calibri"/>
            <family val="2"/>
            <scheme val="minor"/>
          </rPr>
          <t>Seleccione un valor de la lista</t>
        </r>
      </text>
    </comment>
    <comment ref="F4331" authorId="2">
      <text>
        <r>
          <rPr>
            <sz val="11"/>
            <color theme="1"/>
            <rFont val="Calibri"/>
            <family val="2"/>
            <scheme val="minor"/>
          </rPr>
          <t>Introduzca el código SNIP</t>
        </r>
      </text>
    </comment>
    <comment ref="C4332" authorId="2">
      <text>
        <r>
          <rPr>
            <sz val="11"/>
            <color theme="1"/>
            <rFont val="Calibri"/>
            <family val="2"/>
            <scheme val="minor"/>
          </rPr>
          <t>Introduzca la fecha de inicio del proceso, en formato dd-mm-aaaa</t>
        </r>
      </text>
    </comment>
    <comment ref="F43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3" authorId="2">
      <text/>
    </comment>
    <comment ref="C4334" authorId="2">
      <text>
        <r>
          <rPr>
            <sz val="11"/>
            <color theme="1"/>
            <rFont val="Calibri"/>
            <family val="2"/>
            <scheme val="minor"/>
          </rPr>
          <t>Introduzca la fecha prevista de adjudicación, en formato dd-mm-aaaa</t>
        </r>
      </text>
    </comment>
    <comment ref="F4334" authorId="2">
      <text/>
    </comment>
    <comment ref="F4335" authorId="2">
      <text/>
    </comment>
    <comment ref="A4337" authorId="2">
      <text>
        <r>
          <rPr>
            <sz val="11"/>
            <color theme="1"/>
            <rFont val="Calibri"/>
            <family val="2"/>
            <scheme val="minor"/>
          </rPr>
          <t>Introduzca un codigo UNSPSC</t>
        </r>
      </text>
    </comment>
    <comment ref="B4337" authorId="2">
      <text>
        <r>
          <rPr>
            <sz val="11"/>
            <color theme="1"/>
            <rFont val="Calibri"/>
            <family val="2"/>
            <scheme val="minor"/>
          </rPr>
          <t>Descripción calculada automáticamente a partir de código del artículo</t>
        </r>
      </text>
    </comment>
    <comment ref="C4337" authorId="2">
      <text>
        <r>
          <rPr>
            <sz val="11"/>
            <color theme="1"/>
            <rFont val="Calibri"/>
            <family val="2"/>
            <scheme val="minor"/>
          </rPr>
          <t>Seleccione un valor de la lista</t>
        </r>
      </text>
    </comment>
    <comment ref="D4337" authorId="2">
      <text>
        <r>
          <rPr>
            <sz val="11"/>
            <color theme="1"/>
            <rFont val="Calibri"/>
            <family val="2"/>
            <scheme val="minor"/>
          </rPr>
          <t>Introduzca un número con dos decimales como máximo. Debe ser igual o mayor a la "Cantidad Real Consumida"</t>
        </r>
      </text>
    </comment>
    <comment ref="E4337" authorId="2">
      <text>
        <r>
          <rPr>
            <sz val="11"/>
            <color theme="1"/>
            <rFont val="Calibri"/>
            <family val="2"/>
            <scheme val="minor"/>
          </rPr>
          <t>Introduzca un número con dos decimales como máximo</t>
        </r>
      </text>
    </comment>
    <comment ref="F4337" authorId="2">
      <text>
        <r>
          <rPr>
            <sz val="11"/>
            <color theme="1"/>
            <rFont val="Calibri"/>
            <family val="2"/>
            <scheme val="minor"/>
          </rPr>
          <t>Monto calculado automáticamente por el sistema</t>
        </r>
      </text>
    </comment>
    <comment ref="A4343" authorId="2">
      <text>
        <r>
          <rPr>
            <sz val="11"/>
            <color theme="1"/>
            <rFont val="Calibri"/>
            <family val="2"/>
            <scheme val="minor"/>
          </rPr>
          <t>Introducir un texto con el nombre o referencia de la contratación</t>
        </r>
      </text>
    </comment>
    <comment ref="B4343" authorId="2">
      <text>
        <r>
          <rPr>
            <sz val="11"/>
            <color theme="1"/>
            <rFont val="Calibri"/>
            <family val="2"/>
            <scheme val="minor"/>
          </rPr>
          <t>Introduzca un texto con la finalidad de la contratación</t>
        </r>
      </text>
    </comment>
    <comment ref="C4343" authorId="2">
      <text>
        <r>
          <rPr>
            <sz val="11"/>
            <color theme="1"/>
            <rFont val="Calibri"/>
            <family val="2"/>
            <scheme val="minor"/>
          </rPr>
          <t>Seleccionar un valor del listado</t>
        </r>
      </text>
    </comment>
    <comment ref="D4343" authorId="2">
      <text>
        <r>
          <rPr>
            <sz val="11"/>
            <color theme="1"/>
            <rFont val="Calibri"/>
            <family val="2"/>
            <scheme val="minor"/>
          </rPr>
          <t>Seleccione el tipo de procedimiento</t>
        </r>
      </text>
    </comment>
    <comment ref="E4343" authorId="2">
      <text>
        <r>
          <rPr>
            <sz val="11"/>
            <color theme="1"/>
            <rFont val="Calibri"/>
            <family val="2"/>
            <scheme val="minor"/>
          </rPr>
          <t>Seleccione un valor de la lista</t>
        </r>
      </text>
    </comment>
    <comment ref="F4343" authorId="2">
      <text>
        <r>
          <rPr>
            <sz val="11"/>
            <color theme="1"/>
            <rFont val="Calibri"/>
            <family val="2"/>
            <scheme val="minor"/>
          </rPr>
          <t>Introduzca el código SNIP</t>
        </r>
      </text>
    </comment>
    <comment ref="C4344" authorId="2">
      <text>
        <r>
          <rPr>
            <sz val="11"/>
            <color theme="1"/>
            <rFont val="Calibri"/>
            <family val="2"/>
            <scheme val="minor"/>
          </rPr>
          <t>Introduzca la fecha de inicio del proceso, en formato dd-mm-aaaa</t>
        </r>
      </text>
    </comment>
    <comment ref="F43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5" authorId="2">
      <text/>
    </comment>
    <comment ref="C4346" authorId="2">
      <text>
        <r>
          <rPr>
            <sz val="11"/>
            <color theme="1"/>
            <rFont val="Calibri"/>
            <family val="2"/>
            <scheme val="minor"/>
          </rPr>
          <t>Introduzca la fecha prevista de adjudicación, en formato dd-mm-aaaa</t>
        </r>
      </text>
    </comment>
    <comment ref="F4346" authorId="2">
      <text/>
    </comment>
    <comment ref="F4347" authorId="2">
      <text/>
    </comment>
    <comment ref="A4349" authorId="2">
      <text>
        <r>
          <rPr>
            <sz val="11"/>
            <color theme="1"/>
            <rFont val="Calibri"/>
            <family val="2"/>
            <scheme val="minor"/>
          </rPr>
          <t>Introduzca un codigo UNSPSC</t>
        </r>
      </text>
    </comment>
    <comment ref="B4349" authorId="2">
      <text>
        <r>
          <rPr>
            <sz val="11"/>
            <color theme="1"/>
            <rFont val="Calibri"/>
            <family val="2"/>
            <scheme val="minor"/>
          </rPr>
          <t>Descripción calculada automáticamente a partir de código del artículo</t>
        </r>
      </text>
    </comment>
    <comment ref="C4349" authorId="2">
      <text>
        <r>
          <rPr>
            <sz val="11"/>
            <color theme="1"/>
            <rFont val="Calibri"/>
            <family val="2"/>
            <scheme val="minor"/>
          </rPr>
          <t>Seleccione un valor de la lista</t>
        </r>
      </text>
    </comment>
    <comment ref="D4349" authorId="2">
      <text>
        <r>
          <rPr>
            <sz val="11"/>
            <color theme="1"/>
            <rFont val="Calibri"/>
            <family val="2"/>
            <scheme val="minor"/>
          </rPr>
          <t>Introduzca un número con dos decimales como máximo. Debe ser igual o mayor a la "Cantidad Real Consumida"</t>
        </r>
      </text>
    </comment>
    <comment ref="E4349" authorId="2">
      <text>
        <r>
          <rPr>
            <sz val="11"/>
            <color theme="1"/>
            <rFont val="Calibri"/>
            <family val="2"/>
            <scheme val="minor"/>
          </rPr>
          <t>Introduzca un número con dos decimales como máximo</t>
        </r>
      </text>
    </comment>
    <comment ref="F4349" authorId="2">
      <text>
        <r>
          <rPr>
            <sz val="11"/>
            <color theme="1"/>
            <rFont val="Calibri"/>
            <family val="2"/>
            <scheme val="minor"/>
          </rPr>
          <t>Monto calculado automáticamente por el sistema</t>
        </r>
      </text>
    </comment>
    <comment ref="A4354" authorId="2">
      <text>
        <r>
          <rPr>
            <sz val="11"/>
            <color theme="1"/>
            <rFont val="Calibri"/>
            <family val="2"/>
            <scheme val="minor"/>
          </rPr>
          <t>Introducir un texto con el nombre o referencia de la contratación</t>
        </r>
      </text>
    </comment>
    <comment ref="B4354" authorId="2">
      <text>
        <r>
          <rPr>
            <sz val="11"/>
            <color theme="1"/>
            <rFont val="Calibri"/>
            <family val="2"/>
            <scheme val="minor"/>
          </rPr>
          <t>Introduzca un texto con la finalidad de la contratación</t>
        </r>
      </text>
    </comment>
    <comment ref="C4354" authorId="2">
      <text>
        <r>
          <rPr>
            <sz val="11"/>
            <color theme="1"/>
            <rFont val="Calibri"/>
            <family val="2"/>
            <scheme val="minor"/>
          </rPr>
          <t>Seleccionar un valor del listado</t>
        </r>
      </text>
    </comment>
    <comment ref="D4354" authorId="2">
      <text>
        <r>
          <rPr>
            <sz val="11"/>
            <color theme="1"/>
            <rFont val="Calibri"/>
            <family val="2"/>
            <scheme val="minor"/>
          </rPr>
          <t>Seleccione el tipo de procedimiento</t>
        </r>
      </text>
    </comment>
    <comment ref="E4354" authorId="2">
      <text>
        <r>
          <rPr>
            <sz val="11"/>
            <color theme="1"/>
            <rFont val="Calibri"/>
            <family val="2"/>
            <scheme val="minor"/>
          </rPr>
          <t>Seleccione un valor de la lista</t>
        </r>
      </text>
    </comment>
    <comment ref="F4354" authorId="2">
      <text>
        <r>
          <rPr>
            <sz val="11"/>
            <color theme="1"/>
            <rFont val="Calibri"/>
            <family val="2"/>
            <scheme val="minor"/>
          </rPr>
          <t>Introduzca el código SNIP</t>
        </r>
      </text>
    </comment>
    <comment ref="C4355" authorId="2">
      <text>
        <r>
          <rPr>
            <sz val="11"/>
            <color theme="1"/>
            <rFont val="Calibri"/>
            <family val="2"/>
            <scheme val="minor"/>
          </rPr>
          <t>Introduzca la fecha de inicio del proceso, en formato dd-mm-aaaa</t>
        </r>
      </text>
    </comment>
    <comment ref="F43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6" authorId="2">
      <text/>
    </comment>
    <comment ref="C4357" authorId="2">
      <text>
        <r>
          <rPr>
            <sz val="11"/>
            <color theme="1"/>
            <rFont val="Calibri"/>
            <family val="2"/>
            <scheme val="minor"/>
          </rPr>
          <t>Introduzca la fecha prevista de adjudicación, en formato dd-mm-aaaa</t>
        </r>
      </text>
    </comment>
    <comment ref="F4357" authorId="2">
      <text/>
    </comment>
    <comment ref="F4358" authorId="2">
      <text/>
    </comment>
    <comment ref="A4360" authorId="2">
      <text>
        <r>
          <rPr>
            <sz val="11"/>
            <color theme="1"/>
            <rFont val="Calibri"/>
            <family val="2"/>
            <scheme val="minor"/>
          </rPr>
          <t>Introduzca un codigo UNSPSC</t>
        </r>
      </text>
    </comment>
    <comment ref="B4360" authorId="2">
      <text>
        <r>
          <rPr>
            <sz val="11"/>
            <color theme="1"/>
            <rFont val="Calibri"/>
            <family val="2"/>
            <scheme val="minor"/>
          </rPr>
          <t>Descripción calculada automáticamente a partir de código del artículo</t>
        </r>
      </text>
    </comment>
    <comment ref="C4360" authorId="2">
      <text>
        <r>
          <rPr>
            <sz val="11"/>
            <color theme="1"/>
            <rFont val="Calibri"/>
            <family val="2"/>
            <scheme val="minor"/>
          </rPr>
          <t>Seleccione un valor de la lista</t>
        </r>
      </text>
    </comment>
    <comment ref="D4360" authorId="2">
      <text>
        <r>
          <rPr>
            <sz val="11"/>
            <color theme="1"/>
            <rFont val="Calibri"/>
            <family val="2"/>
            <scheme val="minor"/>
          </rPr>
          <t>Introduzca un número con dos decimales como máximo. Debe ser igual o mayor a la "Cantidad Real Consumida"</t>
        </r>
      </text>
    </comment>
    <comment ref="E4360" authorId="2">
      <text>
        <r>
          <rPr>
            <sz val="11"/>
            <color theme="1"/>
            <rFont val="Calibri"/>
            <family val="2"/>
            <scheme val="minor"/>
          </rPr>
          <t>Introduzca un número con dos decimales como máximo</t>
        </r>
      </text>
    </comment>
    <comment ref="F4360" authorId="2">
      <text>
        <r>
          <rPr>
            <sz val="11"/>
            <color theme="1"/>
            <rFont val="Calibri"/>
            <family val="2"/>
            <scheme val="minor"/>
          </rPr>
          <t>Monto calculado automáticamente por el sistema</t>
        </r>
      </text>
    </comment>
    <comment ref="A4365" authorId="2">
      <text>
        <r>
          <rPr>
            <sz val="11"/>
            <color theme="1"/>
            <rFont val="Calibri"/>
            <family val="2"/>
            <scheme val="minor"/>
          </rPr>
          <t>Introducir un texto con el nombre o referencia de la contratación</t>
        </r>
      </text>
    </comment>
    <comment ref="B4365" authorId="2">
      <text>
        <r>
          <rPr>
            <sz val="11"/>
            <color theme="1"/>
            <rFont val="Calibri"/>
            <family val="2"/>
            <scheme val="minor"/>
          </rPr>
          <t>Introduzca un texto con la finalidad de la contratación</t>
        </r>
      </text>
    </comment>
    <comment ref="C4365" authorId="2">
      <text>
        <r>
          <rPr>
            <sz val="11"/>
            <color theme="1"/>
            <rFont val="Calibri"/>
            <family val="2"/>
            <scheme val="minor"/>
          </rPr>
          <t>Seleccionar un valor del listado</t>
        </r>
      </text>
    </comment>
    <comment ref="D4365" authorId="2">
      <text>
        <r>
          <rPr>
            <sz val="11"/>
            <color theme="1"/>
            <rFont val="Calibri"/>
            <family val="2"/>
            <scheme val="minor"/>
          </rPr>
          <t>Seleccione el tipo de procedimiento</t>
        </r>
      </text>
    </comment>
    <comment ref="E4365" authorId="2">
      <text>
        <r>
          <rPr>
            <sz val="11"/>
            <color theme="1"/>
            <rFont val="Calibri"/>
            <family val="2"/>
            <scheme val="minor"/>
          </rPr>
          <t>Seleccione un valor de la lista</t>
        </r>
      </text>
    </comment>
    <comment ref="F4365" authorId="2">
      <text>
        <r>
          <rPr>
            <sz val="11"/>
            <color theme="1"/>
            <rFont val="Calibri"/>
            <family val="2"/>
            <scheme val="minor"/>
          </rPr>
          <t>Introduzca el código SNIP</t>
        </r>
      </text>
    </comment>
    <comment ref="C4366" authorId="2">
      <text>
        <r>
          <rPr>
            <sz val="11"/>
            <color theme="1"/>
            <rFont val="Calibri"/>
            <family val="2"/>
            <scheme val="minor"/>
          </rPr>
          <t>Introduzca la fecha de inicio del proceso, en formato dd-mm-aaaa</t>
        </r>
      </text>
    </comment>
    <comment ref="F43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7" authorId="2">
      <text/>
    </comment>
    <comment ref="C4368" authorId="2">
      <text>
        <r>
          <rPr>
            <sz val="11"/>
            <color theme="1"/>
            <rFont val="Calibri"/>
            <family val="2"/>
            <scheme val="minor"/>
          </rPr>
          <t>Introduzca la fecha prevista de adjudicación, en formato dd-mm-aaaa</t>
        </r>
      </text>
    </comment>
    <comment ref="F4368" authorId="2">
      <text/>
    </comment>
    <comment ref="F4369" authorId="2">
      <text/>
    </comment>
    <comment ref="A4371" authorId="2">
      <text>
        <r>
          <rPr>
            <sz val="11"/>
            <color theme="1"/>
            <rFont val="Calibri"/>
            <family val="2"/>
            <scheme val="minor"/>
          </rPr>
          <t>Introduzca un codigo UNSPSC</t>
        </r>
      </text>
    </comment>
    <comment ref="B4371" authorId="2">
      <text>
        <r>
          <rPr>
            <sz val="11"/>
            <color theme="1"/>
            <rFont val="Calibri"/>
            <family val="2"/>
            <scheme val="minor"/>
          </rPr>
          <t>Descripción calculada automáticamente a partir de código del artículo</t>
        </r>
      </text>
    </comment>
    <comment ref="C4371" authorId="2">
      <text>
        <r>
          <rPr>
            <sz val="11"/>
            <color theme="1"/>
            <rFont val="Calibri"/>
            <family val="2"/>
            <scheme val="minor"/>
          </rPr>
          <t>Seleccione un valor de la lista</t>
        </r>
      </text>
    </comment>
    <comment ref="D4371" authorId="2">
      <text>
        <r>
          <rPr>
            <sz val="11"/>
            <color theme="1"/>
            <rFont val="Calibri"/>
            <family val="2"/>
            <scheme val="minor"/>
          </rPr>
          <t>Introduzca un número con dos decimales como máximo. Debe ser igual o mayor a la "Cantidad Real Consumida"</t>
        </r>
      </text>
    </comment>
    <comment ref="E4371" authorId="2">
      <text>
        <r>
          <rPr>
            <sz val="11"/>
            <color theme="1"/>
            <rFont val="Calibri"/>
            <family val="2"/>
            <scheme val="minor"/>
          </rPr>
          <t>Introduzca un número con dos decimales como máximo</t>
        </r>
      </text>
    </comment>
    <comment ref="F4371" authorId="2">
      <text>
        <r>
          <rPr>
            <sz val="11"/>
            <color theme="1"/>
            <rFont val="Calibri"/>
            <family val="2"/>
            <scheme val="minor"/>
          </rPr>
          <t>Monto calculado automáticamente por el sistema</t>
        </r>
      </text>
    </comment>
    <comment ref="A4383" authorId="2">
      <text>
        <r>
          <rPr>
            <sz val="11"/>
            <color theme="1"/>
            <rFont val="Calibri"/>
            <family val="2"/>
            <scheme val="minor"/>
          </rPr>
          <t>Introducir un texto con el nombre o referencia de la contratación</t>
        </r>
      </text>
    </comment>
    <comment ref="B4383" authorId="2">
      <text>
        <r>
          <rPr>
            <sz val="11"/>
            <color theme="1"/>
            <rFont val="Calibri"/>
            <family val="2"/>
            <scheme val="minor"/>
          </rPr>
          <t>Introduzca un texto con la finalidad de la contratación</t>
        </r>
      </text>
    </comment>
    <comment ref="C4383" authorId="2">
      <text>
        <r>
          <rPr>
            <sz val="11"/>
            <color theme="1"/>
            <rFont val="Calibri"/>
            <family val="2"/>
            <scheme val="minor"/>
          </rPr>
          <t>Seleccionar un valor del listado</t>
        </r>
      </text>
    </comment>
    <comment ref="D4383" authorId="2">
      <text>
        <r>
          <rPr>
            <sz val="11"/>
            <color theme="1"/>
            <rFont val="Calibri"/>
            <family val="2"/>
            <scheme val="minor"/>
          </rPr>
          <t>Seleccione el tipo de procedimiento</t>
        </r>
      </text>
    </comment>
    <comment ref="E4383" authorId="2">
      <text>
        <r>
          <rPr>
            <sz val="11"/>
            <color theme="1"/>
            <rFont val="Calibri"/>
            <family val="2"/>
            <scheme val="minor"/>
          </rPr>
          <t>Seleccione un valor de la lista</t>
        </r>
      </text>
    </comment>
    <comment ref="F4383" authorId="2">
      <text>
        <r>
          <rPr>
            <sz val="11"/>
            <color theme="1"/>
            <rFont val="Calibri"/>
            <family val="2"/>
            <scheme val="minor"/>
          </rPr>
          <t>Introduzca el código SNIP</t>
        </r>
      </text>
    </comment>
    <comment ref="C4384" authorId="2">
      <text>
        <r>
          <rPr>
            <sz val="11"/>
            <color theme="1"/>
            <rFont val="Calibri"/>
            <family val="2"/>
            <scheme val="minor"/>
          </rPr>
          <t>Introduzca la fecha de inicio del proceso, en formato dd-mm-aaaa</t>
        </r>
      </text>
    </comment>
    <comment ref="F43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5" authorId="2">
      <text/>
    </comment>
    <comment ref="C4386" authorId="2">
      <text>
        <r>
          <rPr>
            <sz val="11"/>
            <color theme="1"/>
            <rFont val="Calibri"/>
            <family val="2"/>
            <scheme val="minor"/>
          </rPr>
          <t>Introduzca la fecha prevista de adjudicación, en formato dd-mm-aaaa</t>
        </r>
      </text>
    </comment>
    <comment ref="F4386" authorId="2">
      <text/>
    </comment>
    <comment ref="F4387" authorId="2">
      <text/>
    </comment>
    <comment ref="A4389" authorId="2">
      <text>
        <r>
          <rPr>
            <sz val="11"/>
            <color theme="1"/>
            <rFont val="Calibri"/>
            <family val="2"/>
            <scheme val="minor"/>
          </rPr>
          <t>Introduzca un codigo UNSPSC</t>
        </r>
      </text>
    </comment>
    <comment ref="B4389" authorId="2">
      <text>
        <r>
          <rPr>
            <sz val="11"/>
            <color theme="1"/>
            <rFont val="Calibri"/>
            <family val="2"/>
            <scheme val="minor"/>
          </rPr>
          <t>Descripción calculada automáticamente a partir de código del artículo</t>
        </r>
      </text>
    </comment>
    <comment ref="C4389" authorId="2">
      <text>
        <r>
          <rPr>
            <sz val="11"/>
            <color theme="1"/>
            <rFont val="Calibri"/>
            <family val="2"/>
            <scheme val="minor"/>
          </rPr>
          <t>Seleccione un valor de la lista</t>
        </r>
      </text>
    </comment>
    <comment ref="D4389" authorId="2">
      <text>
        <r>
          <rPr>
            <sz val="11"/>
            <color theme="1"/>
            <rFont val="Calibri"/>
            <family val="2"/>
            <scheme val="minor"/>
          </rPr>
          <t>Introduzca un número con dos decimales como máximo. Debe ser igual o mayor a la "Cantidad Real Consumida"</t>
        </r>
      </text>
    </comment>
    <comment ref="E4389" authorId="2">
      <text>
        <r>
          <rPr>
            <sz val="11"/>
            <color theme="1"/>
            <rFont val="Calibri"/>
            <family val="2"/>
            <scheme val="minor"/>
          </rPr>
          <t>Introduzca un número con dos decimales como máximo</t>
        </r>
      </text>
    </comment>
    <comment ref="F4389" authorId="2">
      <text>
        <r>
          <rPr>
            <sz val="11"/>
            <color theme="1"/>
            <rFont val="Calibri"/>
            <family val="2"/>
            <scheme val="minor"/>
          </rPr>
          <t>Monto calculado automáticamente por el sistema</t>
        </r>
      </text>
    </comment>
    <comment ref="A4394" authorId="2">
      <text>
        <r>
          <rPr>
            <sz val="11"/>
            <color theme="1"/>
            <rFont val="Calibri"/>
            <family val="2"/>
            <scheme val="minor"/>
          </rPr>
          <t>Introducir un texto con el nombre o referencia de la contratación</t>
        </r>
      </text>
    </comment>
    <comment ref="B4394" authorId="2">
      <text>
        <r>
          <rPr>
            <sz val="11"/>
            <color theme="1"/>
            <rFont val="Calibri"/>
            <family val="2"/>
            <scheme val="minor"/>
          </rPr>
          <t>Introduzca un texto con la finalidad de la contratación</t>
        </r>
      </text>
    </comment>
    <comment ref="C4394" authorId="2">
      <text>
        <r>
          <rPr>
            <sz val="11"/>
            <color theme="1"/>
            <rFont val="Calibri"/>
            <family val="2"/>
            <scheme val="minor"/>
          </rPr>
          <t>Seleccionar un valor del listado</t>
        </r>
      </text>
    </comment>
    <comment ref="D4394" authorId="2">
      <text>
        <r>
          <rPr>
            <sz val="11"/>
            <color theme="1"/>
            <rFont val="Calibri"/>
            <family val="2"/>
            <scheme val="minor"/>
          </rPr>
          <t>Seleccione el tipo de procedimiento</t>
        </r>
      </text>
    </comment>
    <comment ref="E4394" authorId="2">
      <text>
        <r>
          <rPr>
            <sz val="11"/>
            <color theme="1"/>
            <rFont val="Calibri"/>
            <family val="2"/>
            <scheme val="minor"/>
          </rPr>
          <t>Seleccione un valor de la lista</t>
        </r>
      </text>
    </comment>
    <comment ref="F4394" authorId="2">
      <text>
        <r>
          <rPr>
            <sz val="11"/>
            <color theme="1"/>
            <rFont val="Calibri"/>
            <family val="2"/>
            <scheme val="minor"/>
          </rPr>
          <t>Introduzca el código SNIP</t>
        </r>
      </text>
    </comment>
    <comment ref="C4395" authorId="2">
      <text>
        <r>
          <rPr>
            <sz val="11"/>
            <color theme="1"/>
            <rFont val="Calibri"/>
            <family val="2"/>
            <scheme val="minor"/>
          </rPr>
          <t>Introduzca la fecha de inicio del proceso, en formato dd-mm-aaaa</t>
        </r>
      </text>
    </comment>
    <comment ref="F43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6" authorId="2">
      <text/>
    </comment>
    <comment ref="C4397" authorId="2">
      <text>
        <r>
          <rPr>
            <sz val="11"/>
            <color theme="1"/>
            <rFont val="Calibri"/>
            <family val="2"/>
            <scheme val="minor"/>
          </rPr>
          <t>Introduzca la fecha prevista de adjudicación, en formato dd-mm-aaaa</t>
        </r>
      </text>
    </comment>
    <comment ref="F4397" authorId="2">
      <text/>
    </comment>
    <comment ref="F4398" authorId="2">
      <text/>
    </comment>
    <comment ref="A4400" authorId="2">
      <text>
        <r>
          <rPr>
            <sz val="11"/>
            <color theme="1"/>
            <rFont val="Calibri"/>
            <family val="2"/>
            <scheme val="minor"/>
          </rPr>
          <t>Introduzca un codigo UNSPSC</t>
        </r>
      </text>
    </comment>
    <comment ref="B4400" authorId="2">
      <text>
        <r>
          <rPr>
            <sz val="11"/>
            <color theme="1"/>
            <rFont val="Calibri"/>
            <family val="2"/>
            <scheme val="minor"/>
          </rPr>
          <t>Descripción calculada automáticamente a partir de código del artículo</t>
        </r>
      </text>
    </comment>
    <comment ref="C4400" authorId="2">
      <text>
        <r>
          <rPr>
            <sz val="11"/>
            <color theme="1"/>
            <rFont val="Calibri"/>
            <family val="2"/>
            <scheme val="minor"/>
          </rPr>
          <t>Seleccione un valor de la lista</t>
        </r>
      </text>
    </comment>
    <comment ref="D4400" authorId="2">
      <text>
        <r>
          <rPr>
            <sz val="11"/>
            <color theme="1"/>
            <rFont val="Calibri"/>
            <family val="2"/>
            <scheme val="minor"/>
          </rPr>
          <t>Introduzca un número con dos decimales como máximo. Debe ser igual o mayor a la "Cantidad Real Consumida"</t>
        </r>
      </text>
    </comment>
    <comment ref="E4400" authorId="2">
      <text>
        <r>
          <rPr>
            <sz val="11"/>
            <color theme="1"/>
            <rFont val="Calibri"/>
            <family val="2"/>
            <scheme val="minor"/>
          </rPr>
          <t>Introduzca un número con dos decimales como máximo</t>
        </r>
      </text>
    </comment>
    <comment ref="F4400" authorId="2">
      <text>
        <r>
          <rPr>
            <sz val="11"/>
            <color theme="1"/>
            <rFont val="Calibri"/>
            <family val="2"/>
            <scheme val="minor"/>
          </rPr>
          <t>Monto calculado automáticamente por el sistema</t>
        </r>
      </text>
    </comment>
    <comment ref="A4405" authorId="2">
      <text>
        <r>
          <rPr>
            <sz val="11"/>
            <color theme="1"/>
            <rFont val="Calibri"/>
            <family val="2"/>
            <scheme val="minor"/>
          </rPr>
          <t>Introducir un texto con el nombre o referencia de la contratación</t>
        </r>
      </text>
    </comment>
    <comment ref="B4405" authorId="2">
      <text>
        <r>
          <rPr>
            <sz val="11"/>
            <color theme="1"/>
            <rFont val="Calibri"/>
            <family val="2"/>
            <scheme val="minor"/>
          </rPr>
          <t>Introduzca un texto con la finalidad de la contratación</t>
        </r>
      </text>
    </comment>
    <comment ref="C4405" authorId="2">
      <text>
        <r>
          <rPr>
            <sz val="11"/>
            <color theme="1"/>
            <rFont val="Calibri"/>
            <family val="2"/>
            <scheme val="minor"/>
          </rPr>
          <t>Seleccionar un valor del listado</t>
        </r>
      </text>
    </comment>
    <comment ref="D4405" authorId="2">
      <text>
        <r>
          <rPr>
            <sz val="11"/>
            <color theme="1"/>
            <rFont val="Calibri"/>
            <family val="2"/>
            <scheme val="minor"/>
          </rPr>
          <t>Seleccione el tipo de procedimiento</t>
        </r>
      </text>
    </comment>
    <comment ref="E4405" authorId="2">
      <text>
        <r>
          <rPr>
            <sz val="11"/>
            <color theme="1"/>
            <rFont val="Calibri"/>
            <family val="2"/>
            <scheme val="minor"/>
          </rPr>
          <t>Seleccione un valor de la lista</t>
        </r>
      </text>
    </comment>
    <comment ref="F4405" authorId="2">
      <text>
        <r>
          <rPr>
            <sz val="11"/>
            <color theme="1"/>
            <rFont val="Calibri"/>
            <family val="2"/>
            <scheme val="minor"/>
          </rPr>
          <t>Introduzca el código SNIP</t>
        </r>
      </text>
    </comment>
    <comment ref="C4406" authorId="2">
      <text>
        <r>
          <rPr>
            <sz val="11"/>
            <color theme="1"/>
            <rFont val="Calibri"/>
            <family val="2"/>
            <scheme val="minor"/>
          </rPr>
          <t>Introduzca la fecha de inicio del proceso, en formato dd-mm-aaaa</t>
        </r>
      </text>
    </comment>
    <comment ref="F44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7" authorId="2">
      <text/>
    </comment>
    <comment ref="C4408" authorId="2">
      <text>
        <r>
          <rPr>
            <sz val="11"/>
            <color theme="1"/>
            <rFont val="Calibri"/>
            <family val="2"/>
            <scheme val="minor"/>
          </rPr>
          <t>Introduzca la fecha prevista de adjudicación, en formato dd-mm-aaaa</t>
        </r>
      </text>
    </comment>
    <comment ref="F4408" authorId="2">
      <text/>
    </comment>
    <comment ref="F4409" authorId="2">
      <text/>
    </comment>
    <comment ref="A4411" authorId="2">
      <text>
        <r>
          <rPr>
            <sz val="11"/>
            <color theme="1"/>
            <rFont val="Calibri"/>
            <family val="2"/>
            <scheme val="minor"/>
          </rPr>
          <t>Introduzca un codigo UNSPSC</t>
        </r>
      </text>
    </comment>
    <comment ref="B4411" authorId="2">
      <text>
        <r>
          <rPr>
            <sz val="11"/>
            <color theme="1"/>
            <rFont val="Calibri"/>
            <family val="2"/>
            <scheme val="minor"/>
          </rPr>
          <t>Descripción calculada automáticamente a partir de código del artículo</t>
        </r>
      </text>
    </comment>
    <comment ref="C4411" authorId="2">
      <text>
        <r>
          <rPr>
            <sz val="11"/>
            <color theme="1"/>
            <rFont val="Calibri"/>
            <family val="2"/>
            <scheme val="minor"/>
          </rPr>
          <t>Seleccione un valor de la lista</t>
        </r>
      </text>
    </comment>
    <comment ref="D4411" authorId="2">
      <text>
        <r>
          <rPr>
            <sz val="11"/>
            <color theme="1"/>
            <rFont val="Calibri"/>
            <family val="2"/>
            <scheme val="minor"/>
          </rPr>
          <t>Introduzca un número con dos decimales como máximo. Debe ser igual o mayor a la "Cantidad Real Consumida"</t>
        </r>
      </text>
    </comment>
    <comment ref="E4411" authorId="2">
      <text>
        <r>
          <rPr>
            <sz val="11"/>
            <color theme="1"/>
            <rFont val="Calibri"/>
            <family val="2"/>
            <scheme val="minor"/>
          </rPr>
          <t>Introduzca un número con dos decimales como máximo</t>
        </r>
      </text>
    </comment>
    <comment ref="F4411" authorId="2">
      <text>
        <r>
          <rPr>
            <sz val="11"/>
            <color theme="1"/>
            <rFont val="Calibri"/>
            <family val="2"/>
            <scheme val="minor"/>
          </rPr>
          <t>Monto calculado automáticamente por el sistema</t>
        </r>
      </text>
    </comment>
    <comment ref="A4416" authorId="2">
      <text>
        <r>
          <rPr>
            <sz val="11"/>
            <color theme="1"/>
            <rFont val="Calibri"/>
            <family val="2"/>
            <scheme val="minor"/>
          </rPr>
          <t>Introducir un texto con el nombre o referencia de la contratación</t>
        </r>
      </text>
    </comment>
    <comment ref="B4416" authorId="2">
      <text>
        <r>
          <rPr>
            <sz val="11"/>
            <color theme="1"/>
            <rFont val="Calibri"/>
            <family val="2"/>
            <scheme val="minor"/>
          </rPr>
          <t>Introduzca un texto con la finalidad de la contratación</t>
        </r>
      </text>
    </comment>
    <comment ref="C4416" authorId="2">
      <text>
        <r>
          <rPr>
            <sz val="11"/>
            <color theme="1"/>
            <rFont val="Calibri"/>
            <family val="2"/>
            <scheme val="minor"/>
          </rPr>
          <t>Seleccionar un valor del listado</t>
        </r>
      </text>
    </comment>
    <comment ref="D4416" authorId="2">
      <text>
        <r>
          <rPr>
            <sz val="11"/>
            <color theme="1"/>
            <rFont val="Calibri"/>
            <family val="2"/>
            <scheme val="minor"/>
          </rPr>
          <t>Seleccione el tipo de procedimiento</t>
        </r>
      </text>
    </comment>
    <comment ref="E4416" authorId="2">
      <text>
        <r>
          <rPr>
            <sz val="11"/>
            <color theme="1"/>
            <rFont val="Calibri"/>
            <family val="2"/>
            <scheme val="minor"/>
          </rPr>
          <t>Seleccione un valor de la lista</t>
        </r>
      </text>
    </comment>
    <comment ref="F4416" authorId="2">
      <text>
        <r>
          <rPr>
            <sz val="11"/>
            <color theme="1"/>
            <rFont val="Calibri"/>
            <family val="2"/>
            <scheme val="minor"/>
          </rPr>
          <t>Introduzca el código SNIP</t>
        </r>
      </text>
    </comment>
    <comment ref="C4417" authorId="2">
      <text>
        <r>
          <rPr>
            <sz val="11"/>
            <color theme="1"/>
            <rFont val="Calibri"/>
            <family val="2"/>
            <scheme val="minor"/>
          </rPr>
          <t>Introduzca la fecha de inicio del proceso, en formato dd-mm-aaaa</t>
        </r>
      </text>
    </comment>
    <comment ref="F44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8" authorId="2">
      <text/>
    </comment>
    <comment ref="C4419" authorId="2">
      <text>
        <r>
          <rPr>
            <sz val="11"/>
            <color theme="1"/>
            <rFont val="Calibri"/>
            <family val="2"/>
            <scheme val="minor"/>
          </rPr>
          <t>Introduzca la fecha prevista de adjudicación, en formato dd-mm-aaaa</t>
        </r>
      </text>
    </comment>
    <comment ref="F4419" authorId="2">
      <text/>
    </comment>
    <comment ref="F4420" authorId="2">
      <text/>
    </comment>
    <comment ref="A4422" authorId="2">
      <text>
        <r>
          <rPr>
            <sz val="11"/>
            <color theme="1"/>
            <rFont val="Calibri"/>
            <family val="2"/>
            <scheme val="minor"/>
          </rPr>
          <t>Introduzca un codigo UNSPSC</t>
        </r>
      </text>
    </comment>
    <comment ref="B4422" authorId="2">
      <text>
        <r>
          <rPr>
            <sz val="11"/>
            <color theme="1"/>
            <rFont val="Calibri"/>
            <family val="2"/>
            <scheme val="minor"/>
          </rPr>
          <t>Descripción calculada automáticamente a partir de código del artículo</t>
        </r>
      </text>
    </comment>
    <comment ref="C4422" authorId="2">
      <text>
        <r>
          <rPr>
            <sz val="11"/>
            <color theme="1"/>
            <rFont val="Calibri"/>
            <family val="2"/>
            <scheme val="minor"/>
          </rPr>
          <t>Seleccione un valor de la lista</t>
        </r>
      </text>
    </comment>
    <comment ref="D4422" authorId="2">
      <text>
        <r>
          <rPr>
            <sz val="11"/>
            <color theme="1"/>
            <rFont val="Calibri"/>
            <family val="2"/>
            <scheme val="minor"/>
          </rPr>
          <t>Introduzca un número con dos decimales como máximo. Debe ser igual o mayor a la "Cantidad Real Consumida"</t>
        </r>
      </text>
    </comment>
    <comment ref="E4422" authorId="2">
      <text>
        <r>
          <rPr>
            <sz val="11"/>
            <color theme="1"/>
            <rFont val="Calibri"/>
            <family val="2"/>
            <scheme val="minor"/>
          </rPr>
          <t>Introduzca un número con dos decimales como máximo</t>
        </r>
      </text>
    </comment>
    <comment ref="F4422" authorId="2">
      <text>
        <r>
          <rPr>
            <sz val="11"/>
            <color theme="1"/>
            <rFont val="Calibri"/>
            <family val="2"/>
            <scheme val="minor"/>
          </rPr>
          <t>Monto calculado automáticamente por el sistema</t>
        </r>
      </text>
    </comment>
    <comment ref="A4427" authorId="2">
      <text>
        <r>
          <rPr>
            <sz val="11"/>
            <color theme="1"/>
            <rFont val="Calibri"/>
            <family val="2"/>
            <scheme val="minor"/>
          </rPr>
          <t>Introducir un texto con el nombre o referencia de la contratación</t>
        </r>
      </text>
    </comment>
    <comment ref="B4427" authorId="2">
      <text>
        <r>
          <rPr>
            <sz val="11"/>
            <color theme="1"/>
            <rFont val="Calibri"/>
            <family val="2"/>
            <scheme val="minor"/>
          </rPr>
          <t>Introduzca un texto con la finalidad de la contratación</t>
        </r>
      </text>
    </comment>
    <comment ref="C4427" authorId="2">
      <text>
        <r>
          <rPr>
            <sz val="11"/>
            <color theme="1"/>
            <rFont val="Calibri"/>
            <family val="2"/>
            <scheme val="minor"/>
          </rPr>
          <t>Seleccionar un valor del listado</t>
        </r>
      </text>
    </comment>
    <comment ref="D4427" authorId="2">
      <text>
        <r>
          <rPr>
            <sz val="11"/>
            <color theme="1"/>
            <rFont val="Calibri"/>
            <family val="2"/>
            <scheme val="minor"/>
          </rPr>
          <t>Seleccione el tipo de procedimiento</t>
        </r>
      </text>
    </comment>
    <comment ref="E4427" authorId="2">
      <text>
        <r>
          <rPr>
            <sz val="11"/>
            <color theme="1"/>
            <rFont val="Calibri"/>
            <family val="2"/>
            <scheme val="minor"/>
          </rPr>
          <t>Seleccione un valor de la lista</t>
        </r>
      </text>
    </comment>
    <comment ref="F4427" authorId="2">
      <text>
        <r>
          <rPr>
            <sz val="11"/>
            <color theme="1"/>
            <rFont val="Calibri"/>
            <family val="2"/>
            <scheme val="minor"/>
          </rPr>
          <t>Introduzca el código SNIP</t>
        </r>
      </text>
    </comment>
    <comment ref="C4428" authorId="2">
      <text>
        <r>
          <rPr>
            <sz val="11"/>
            <color theme="1"/>
            <rFont val="Calibri"/>
            <family val="2"/>
            <scheme val="minor"/>
          </rPr>
          <t>Introduzca la fecha de inicio del proceso, en formato dd-mm-aaaa</t>
        </r>
      </text>
    </comment>
    <comment ref="F44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9" authorId="2">
      <text/>
    </comment>
    <comment ref="C4430" authorId="2">
      <text>
        <r>
          <rPr>
            <sz val="11"/>
            <color theme="1"/>
            <rFont val="Calibri"/>
            <family val="2"/>
            <scheme val="minor"/>
          </rPr>
          <t>Introduzca la fecha prevista de adjudicación, en formato dd-mm-aaaa</t>
        </r>
      </text>
    </comment>
    <comment ref="F4430" authorId="2">
      <text/>
    </comment>
    <comment ref="F4431" authorId="2">
      <text/>
    </comment>
    <comment ref="A4433" authorId="2">
      <text>
        <r>
          <rPr>
            <sz val="11"/>
            <color theme="1"/>
            <rFont val="Calibri"/>
            <family val="2"/>
            <scheme val="minor"/>
          </rPr>
          <t>Introduzca un codigo UNSPSC</t>
        </r>
      </text>
    </comment>
    <comment ref="B4433" authorId="2">
      <text>
        <r>
          <rPr>
            <sz val="11"/>
            <color theme="1"/>
            <rFont val="Calibri"/>
            <family val="2"/>
            <scheme val="minor"/>
          </rPr>
          <t>Descripción calculada automáticamente a partir de código del artículo</t>
        </r>
      </text>
    </comment>
    <comment ref="C4433" authorId="2">
      <text>
        <r>
          <rPr>
            <sz val="11"/>
            <color theme="1"/>
            <rFont val="Calibri"/>
            <family val="2"/>
            <scheme val="minor"/>
          </rPr>
          <t>Seleccione un valor de la lista</t>
        </r>
      </text>
    </comment>
    <comment ref="D4433" authorId="2">
      <text>
        <r>
          <rPr>
            <sz val="11"/>
            <color theme="1"/>
            <rFont val="Calibri"/>
            <family val="2"/>
            <scheme val="minor"/>
          </rPr>
          <t>Introduzca un número con dos decimales como máximo. Debe ser igual o mayor a la "Cantidad Real Consumida"</t>
        </r>
      </text>
    </comment>
    <comment ref="E4433" authorId="2">
      <text>
        <r>
          <rPr>
            <sz val="11"/>
            <color theme="1"/>
            <rFont val="Calibri"/>
            <family val="2"/>
            <scheme val="minor"/>
          </rPr>
          <t>Introduzca un número con dos decimales como máximo</t>
        </r>
      </text>
    </comment>
    <comment ref="F4433" authorId="2">
      <text>
        <r>
          <rPr>
            <sz val="11"/>
            <color theme="1"/>
            <rFont val="Calibri"/>
            <family val="2"/>
            <scheme val="minor"/>
          </rPr>
          <t>Monto calculado automáticamente por el sistema</t>
        </r>
      </text>
    </comment>
    <comment ref="A4440" authorId="2">
      <text>
        <r>
          <rPr>
            <sz val="11"/>
            <color theme="1"/>
            <rFont val="Calibri"/>
            <family val="2"/>
            <scheme val="minor"/>
          </rPr>
          <t>Introducir un texto con el nombre o referencia de la contratación</t>
        </r>
      </text>
    </comment>
    <comment ref="B4440" authorId="2">
      <text>
        <r>
          <rPr>
            <sz val="11"/>
            <color theme="1"/>
            <rFont val="Calibri"/>
            <family val="2"/>
            <scheme val="minor"/>
          </rPr>
          <t>Introduzca un texto con la finalidad de la contratación</t>
        </r>
      </text>
    </comment>
    <comment ref="C4440" authorId="2">
      <text>
        <r>
          <rPr>
            <sz val="11"/>
            <color theme="1"/>
            <rFont val="Calibri"/>
            <family val="2"/>
            <scheme val="minor"/>
          </rPr>
          <t>Seleccionar un valor del listado</t>
        </r>
      </text>
    </comment>
    <comment ref="D4440" authorId="2">
      <text>
        <r>
          <rPr>
            <sz val="11"/>
            <color theme="1"/>
            <rFont val="Calibri"/>
            <family val="2"/>
            <scheme val="minor"/>
          </rPr>
          <t>Seleccione el tipo de procedimiento</t>
        </r>
      </text>
    </comment>
    <comment ref="E4440" authorId="2">
      <text>
        <r>
          <rPr>
            <sz val="11"/>
            <color theme="1"/>
            <rFont val="Calibri"/>
            <family val="2"/>
            <scheme val="minor"/>
          </rPr>
          <t>Seleccione un valor de la lista</t>
        </r>
      </text>
    </comment>
    <comment ref="F4440" authorId="2">
      <text>
        <r>
          <rPr>
            <sz val="11"/>
            <color theme="1"/>
            <rFont val="Calibri"/>
            <family val="2"/>
            <scheme val="minor"/>
          </rPr>
          <t>Introduzca el código SNIP</t>
        </r>
      </text>
    </comment>
    <comment ref="C4441" authorId="2">
      <text>
        <r>
          <rPr>
            <sz val="11"/>
            <color theme="1"/>
            <rFont val="Calibri"/>
            <family val="2"/>
            <scheme val="minor"/>
          </rPr>
          <t>Introduzca la fecha de inicio del proceso, en formato dd-mm-aaaa</t>
        </r>
      </text>
    </comment>
    <comment ref="F444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2" authorId="2">
      <text/>
    </comment>
    <comment ref="C4443" authorId="2">
      <text>
        <r>
          <rPr>
            <sz val="11"/>
            <color theme="1"/>
            <rFont val="Calibri"/>
            <family val="2"/>
            <scheme val="minor"/>
          </rPr>
          <t>Introduzca la fecha prevista de adjudicación, en formato dd-mm-aaaa</t>
        </r>
      </text>
    </comment>
    <comment ref="F4443" authorId="2">
      <text/>
    </comment>
    <comment ref="F4444" authorId="2">
      <text/>
    </comment>
    <comment ref="A4446" authorId="2">
      <text>
        <r>
          <rPr>
            <sz val="11"/>
            <color theme="1"/>
            <rFont val="Calibri"/>
            <family val="2"/>
            <scheme val="minor"/>
          </rPr>
          <t>Introduzca un codigo UNSPSC</t>
        </r>
      </text>
    </comment>
    <comment ref="B4446" authorId="2">
      <text>
        <r>
          <rPr>
            <sz val="11"/>
            <color theme="1"/>
            <rFont val="Calibri"/>
            <family val="2"/>
            <scheme val="minor"/>
          </rPr>
          <t>Descripción calculada automáticamente a partir de código del artículo</t>
        </r>
      </text>
    </comment>
    <comment ref="C4446" authorId="2">
      <text>
        <r>
          <rPr>
            <sz val="11"/>
            <color theme="1"/>
            <rFont val="Calibri"/>
            <family val="2"/>
            <scheme val="minor"/>
          </rPr>
          <t>Seleccione un valor de la lista</t>
        </r>
      </text>
    </comment>
    <comment ref="D4446" authorId="2">
      <text>
        <r>
          <rPr>
            <sz val="11"/>
            <color theme="1"/>
            <rFont val="Calibri"/>
            <family val="2"/>
            <scheme val="minor"/>
          </rPr>
          <t>Introduzca un número con dos decimales como máximo. Debe ser igual o mayor a la "Cantidad Real Consumida"</t>
        </r>
      </text>
    </comment>
    <comment ref="E4446" authorId="2">
      <text>
        <r>
          <rPr>
            <sz val="11"/>
            <color theme="1"/>
            <rFont val="Calibri"/>
            <family val="2"/>
            <scheme val="minor"/>
          </rPr>
          <t>Introduzca un número con dos decimales como máximo</t>
        </r>
      </text>
    </comment>
    <comment ref="F4446" authorId="2">
      <text>
        <r>
          <rPr>
            <sz val="11"/>
            <color theme="1"/>
            <rFont val="Calibri"/>
            <family val="2"/>
            <scheme val="minor"/>
          </rPr>
          <t>Monto calculado automáticamente por el sistema</t>
        </r>
      </text>
    </comment>
    <comment ref="A4472" authorId="2">
      <text>
        <r>
          <rPr>
            <sz val="11"/>
            <color theme="1"/>
            <rFont val="Calibri"/>
            <family val="2"/>
            <scheme val="minor"/>
          </rPr>
          <t>Introducir un texto con el nombre o referencia de la contratación</t>
        </r>
      </text>
    </comment>
    <comment ref="B4472" authorId="2">
      <text>
        <r>
          <rPr>
            <sz val="11"/>
            <color theme="1"/>
            <rFont val="Calibri"/>
            <family val="2"/>
            <scheme val="minor"/>
          </rPr>
          <t>Introduzca un texto con la finalidad de la contratación</t>
        </r>
      </text>
    </comment>
    <comment ref="C4472" authorId="2">
      <text>
        <r>
          <rPr>
            <sz val="11"/>
            <color theme="1"/>
            <rFont val="Calibri"/>
            <family val="2"/>
            <scheme val="minor"/>
          </rPr>
          <t>Seleccionar un valor del listado</t>
        </r>
      </text>
    </comment>
    <comment ref="D4472" authorId="2">
      <text>
        <r>
          <rPr>
            <sz val="11"/>
            <color theme="1"/>
            <rFont val="Calibri"/>
            <family val="2"/>
            <scheme val="minor"/>
          </rPr>
          <t>Seleccione el tipo de procedimiento</t>
        </r>
      </text>
    </comment>
    <comment ref="E4472" authorId="2">
      <text>
        <r>
          <rPr>
            <sz val="11"/>
            <color theme="1"/>
            <rFont val="Calibri"/>
            <family val="2"/>
            <scheme val="minor"/>
          </rPr>
          <t>Seleccione un valor de la lista</t>
        </r>
      </text>
    </comment>
    <comment ref="F4472" authorId="2">
      <text>
        <r>
          <rPr>
            <sz val="11"/>
            <color theme="1"/>
            <rFont val="Calibri"/>
            <family val="2"/>
            <scheme val="minor"/>
          </rPr>
          <t>Introduzca el código SNIP</t>
        </r>
      </text>
    </comment>
    <comment ref="C4473" authorId="2">
      <text>
        <r>
          <rPr>
            <sz val="11"/>
            <color theme="1"/>
            <rFont val="Calibri"/>
            <family val="2"/>
            <scheme val="minor"/>
          </rPr>
          <t>Introduzca la fecha de inicio del proceso, en formato dd-mm-aaaa</t>
        </r>
      </text>
    </comment>
    <comment ref="F44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4" authorId="2">
      <text/>
    </comment>
    <comment ref="C4475" authorId="2">
      <text>
        <r>
          <rPr>
            <sz val="11"/>
            <color theme="1"/>
            <rFont val="Calibri"/>
            <family val="2"/>
            <scheme val="minor"/>
          </rPr>
          <t>Introduzca la fecha prevista de adjudicación, en formato dd-mm-aaaa</t>
        </r>
      </text>
    </comment>
    <comment ref="F4475" authorId="2">
      <text/>
    </comment>
    <comment ref="F4476" authorId="2">
      <text/>
    </comment>
    <comment ref="A4478" authorId="2">
      <text>
        <r>
          <rPr>
            <sz val="11"/>
            <color theme="1"/>
            <rFont val="Calibri"/>
            <family val="2"/>
            <scheme val="minor"/>
          </rPr>
          <t>Introduzca un codigo UNSPSC</t>
        </r>
      </text>
    </comment>
    <comment ref="B4478" authorId="2">
      <text>
        <r>
          <rPr>
            <sz val="11"/>
            <color theme="1"/>
            <rFont val="Calibri"/>
            <family val="2"/>
            <scheme val="minor"/>
          </rPr>
          <t>Descripción calculada automáticamente a partir de código del artículo</t>
        </r>
      </text>
    </comment>
    <comment ref="C4478" authorId="2">
      <text>
        <r>
          <rPr>
            <sz val="11"/>
            <color theme="1"/>
            <rFont val="Calibri"/>
            <family val="2"/>
            <scheme val="minor"/>
          </rPr>
          <t>Seleccione un valor de la lista</t>
        </r>
      </text>
    </comment>
    <comment ref="D4478" authorId="2">
      <text>
        <r>
          <rPr>
            <sz val="11"/>
            <color theme="1"/>
            <rFont val="Calibri"/>
            <family val="2"/>
            <scheme val="minor"/>
          </rPr>
          <t>Introduzca un número con dos decimales como máximo. Debe ser igual o mayor a la "Cantidad Real Consumida"</t>
        </r>
      </text>
    </comment>
    <comment ref="E4478" authorId="2">
      <text>
        <r>
          <rPr>
            <sz val="11"/>
            <color theme="1"/>
            <rFont val="Calibri"/>
            <family val="2"/>
            <scheme val="minor"/>
          </rPr>
          <t>Introduzca un número con dos decimales como máximo</t>
        </r>
      </text>
    </comment>
    <comment ref="F4478" authorId="2">
      <text>
        <r>
          <rPr>
            <sz val="11"/>
            <color theme="1"/>
            <rFont val="Calibri"/>
            <family val="2"/>
            <scheme val="minor"/>
          </rPr>
          <t>Monto calculado automáticamente por el sistema</t>
        </r>
      </text>
    </comment>
    <comment ref="A4483" authorId="2">
      <text>
        <r>
          <rPr>
            <sz val="11"/>
            <color theme="1"/>
            <rFont val="Calibri"/>
            <family val="2"/>
            <scheme val="minor"/>
          </rPr>
          <t>Introducir un texto con el nombre o referencia de la contratación</t>
        </r>
      </text>
    </comment>
    <comment ref="B4483" authorId="2">
      <text>
        <r>
          <rPr>
            <sz val="11"/>
            <color theme="1"/>
            <rFont val="Calibri"/>
            <family val="2"/>
            <scheme val="minor"/>
          </rPr>
          <t>Introduzca un texto con la finalidad de la contratación</t>
        </r>
      </text>
    </comment>
    <comment ref="C4483" authorId="2">
      <text>
        <r>
          <rPr>
            <sz val="11"/>
            <color theme="1"/>
            <rFont val="Calibri"/>
            <family val="2"/>
            <scheme val="minor"/>
          </rPr>
          <t>Seleccionar un valor del listado</t>
        </r>
      </text>
    </comment>
    <comment ref="D4483" authorId="2">
      <text>
        <r>
          <rPr>
            <sz val="11"/>
            <color theme="1"/>
            <rFont val="Calibri"/>
            <family val="2"/>
            <scheme val="minor"/>
          </rPr>
          <t>Seleccione el tipo de procedimiento</t>
        </r>
      </text>
    </comment>
    <comment ref="E4483" authorId="2">
      <text>
        <r>
          <rPr>
            <sz val="11"/>
            <color theme="1"/>
            <rFont val="Calibri"/>
            <family val="2"/>
            <scheme val="minor"/>
          </rPr>
          <t>Seleccione un valor de la lista</t>
        </r>
      </text>
    </comment>
    <comment ref="F4483" authorId="2">
      <text>
        <r>
          <rPr>
            <sz val="11"/>
            <color theme="1"/>
            <rFont val="Calibri"/>
            <family val="2"/>
            <scheme val="minor"/>
          </rPr>
          <t>Introduzca el código SNIP</t>
        </r>
      </text>
    </comment>
    <comment ref="C4484" authorId="2">
      <text>
        <r>
          <rPr>
            <sz val="11"/>
            <color theme="1"/>
            <rFont val="Calibri"/>
            <family val="2"/>
            <scheme val="minor"/>
          </rPr>
          <t>Introduzca la fecha de inicio del proceso, en formato dd-mm-aaaa</t>
        </r>
      </text>
    </comment>
    <comment ref="F44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5" authorId="2">
      <text/>
    </comment>
    <comment ref="C4486" authorId="2">
      <text>
        <r>
          <rPr>
            <sz val="11"/>
            <color theme="1"/>
            <rFont val="Calibri"/>
            <family val="2"/>
            <scheme val="minor"/>
          </rPr>
          <t>Introduzca la fecha prevista de adjudicación, en formato dd-mm-aaaa</t>
        </r>
      </text>
    </comment>
    <comment ref="F4486" authorId="2">
      <text/>
    </comment>
    <comment ref="F4487" authorId="2">
      <text/>
    </comment>
    <comment ref="A4489" authorId="2">
      <text>
        <r>
          <rPr>
            <sz val="11"/>
            <color theme="1"/>
            <rFont val="Calibri"/>
            <family val="2"/>
            <scheme val="minor"/>
          </rPr>
          <t>Introduzca un codigo UNSPSC</t>
        </r>
      </text>
    </comment>
    <comment ref="B4489" authorId="2">
      <text>
        <r>
          <rPr>
            <sz val="11"/>
            <color theme="1"/>
            <rFont val="Calibri"/>
            <family val="2"/>
            <scheme val="minor"/>
          </rPr>
          <t>Descripción calculada automáticamente a partir de código del artículo</t>
        </r>
      </text>
    </comment>
    <comment ref="C4489" authorId="2">
      <text>
        <r>
          <rPr>
            <sz val="11"/>
            <color theme="1"/>
            <rFont val="Calibri"/>
            <family val="2"/>
            <scheme val="minor"/>
          </rPr>
          <t>Seleccione un valor de la lista</t>
        </r>
      </text>
    </comment>
    <comment ref="D4489" authorId="2">
      <text>
        <r>
          <rPr>
            <sz val="11"/>
            <color theme="1"/>
            <rFont val="Calibri"/>
            <family val="2"/>
            <scheme val="minor"/>
          </rPr>
          <t>Introduzca un número con dos decimales como máximo. Debe ser igual o mayor a la "Cantidad Real Consumida"</t>
        </r>
      </text>
    </comment>
    <comment ref="E4489" authorId="2">
      <text>
        <r>
          <rPr>
            <sz val="11"/>
            <color theme="1"/>
            <rFont val="Calibri"/>
            <family val="2"/>
            <scheme val="minor"/>
          </rPr>
          <t>Introduzca un número con dos decimales como máximo</t>
        </r>
      </text>
    </comment>
    <comment ref="F4489" authorId="2">
      <text>
        <r>
          <rPr>
            <sz val="11"/>
            <color theme="1"/>
            <rFont val="Calibri"/>
            <family val="2"/>
            <scheme val="minor"/>
          </rPr>
          <t>Monto calculado automáticamente por el sistema</t>
        </r>
      </text>
    </comment>
    <comment ref="A4494" authorId="2">
      <text>
        <r>
          <rPr>
            <sz val="11"/>
            <color theme="1"/>
            <rFont val="Calibri"/>
            <family val="2"/>
            <scheme val="minor"/>
          </rPr>
          <t>Introducir un texto con el nombre o referencia de la contratación</t>
        </r>
      </text>
    </comment>
    <comment ref="B4494" authorId="2">
      <text>
        <r>
          <rPr>
            <sz val="11"/>
            <color theme="1"/>
            <rFont val="Calibri"/>
            <family val="2"/>
            <scheme val="minor"/>
          </rPr>
          <t>Introduzca un texto con la finalidad de la contratación</t>
        </r>
      </text>
    </comment>
    <comment ref="C4494" authorId="2">
      <text>
        <r>
          <rPr>
            <sz val="11"/>
            <color theme="1"/>
            <rFont val="Calibri"/>
            <family val="2"/>
            <scheme val="minor"/>
          </rPr>
          <t>Seleccionar un valor del listado</t>
        </r>
      </text>
    </comment>
    <comment ref="D4494" authorId="2">
      <text>
        <r>
          <rPr>
            <sz val="11"/>
            <color theme="1"/>
            <rFont val="Calibri"/>
            <family val="2"/>
            <scheme val="minor"/>
          </rPr>
          <t>Seleccione el tipo de procedimiento</t>
        </r>
      </text>
    </comment>
    <comment ref="E4494" authorId="2">
      <text>
        <r>
          <rPr>
            <sz val="11"/>
            <color theme="1"/>
            <rFont val="Calibri"/>
            <family val="2"/>
            <scheme val="minor"/>
          </rPr>
          <t>Seleccione un valor de la lista</t>
        </r>
      </text>
    </comment>
    <comment ref="F4494" authorId="2">
      <text>
        <r>
          <rPr>
            <sz val="11"/>
            <color theme="1"/>
            <rFont val="Calibri"/>
            <family val="2"/>
            <scheme val="minor"/>
          </rPr>
          <t>Introduzca el código SNIP</t>
        </r>
      </text>
    </comment>
    <comment ref="C4495" authorId="2">
      <text>
        <r>
          <rPr>
            <sz val="11"/>
            <color theme="1"/>
            <rFont val="Calibri"/>
            <family val="2"/>
            <scheme val="minor"/>
          </rPr>
          <t>Introduzca la fecha de inicio del proceso, en formato dd-mm-aaaa</t>
        </r>
      </text>
    </comment>
    <comment ref="F44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6" authorId="2">
      <text/>
    </comment>
    <comment ref="C4497" authorId="2">
      <text>
        <r>
          <rPr>
            <sz val="11"/>
            <color theme="1"/>
            <rFont val="Calibri"/>
            <family val="2"/>
            <scheme val="minor"/>
          </rPr>
          <t>Introduzca la fecha prevista de adjudicación, en formato dd-mm-aaaa</t>
        </r>
      </text>
    </comment>
    <comment ref="F4497" authorId="2">
      <text/>
    </comment>
    <comment ref="F4498" authorId="2">
      <text/>
    </comment>
    <comment ref="A4500" authorId="2">
      <text>
        <r>
          <rPr>
            <sz val="11"/>
            <color theme="1"/>
            <rFont val="Calibri"/>
            <family val="2"/>
            <scheme val="minor"/>
          </rPr>
          <t>Introduzca un codigo UNSPSC</t>
        </r>
      </text>
    </comment>
    <comment ref="B4500" authorId="2">
      <text>
        <r>
          <rPr>
            <sz val="11"/>
            <color theme="1"/>
            <rFont val="Calibri"/>
            <family val="2"/>
            <scheme val="minor"/>
          </rPr>
          <t>Descripción calculada automáticamente a partir de código del artículo</t>
        </r>
      </text>
    </comment>
    <comment ref="C4500" authorId="2">
      <text>
        <r>
          <rPr>
            <sz val="11"/>
            <color theme="1"/>
            <rFont val="Calibri"/>
            <family val="2"/>
            <scheme val="minor"/>
          </rPr>
          <t>Seleccione un valor de la lista</t>
        </r>
      </text>
    </comment>
    <comment ref="D4500" authorId="2">
      <text>
        <r>
          <rPr>
            <sz val="11"/>
            <color theme="1"/>
            <rFont val="Calibri"/>
            <family val="2"/>
            <scheme val="minor"/>
          </rPr>
          <t>Introduzca un número con dos decimales como máximo. Debe ser igual o mayor a la "Cantidad Real Consumida"</t>
        </r>
      </text>
    </comment>
    <comment ref="E4500" authorId="2">
      <text>
        <r>
          <rPr>
            <sz val="11"/>
            <color theme="1"/>
            <rFont val="Calibri"/>
            <family val="2"/>
            <scheme val="minor"/>
          </rPr>
          <t>Introduzca un número con dos decimales como máximo</t>
        </r>
      </text>
    </comment>
    <comment ref="F4500" authorId="2">
      <text>
        <r>
          <rPr>
            <sz val="11"/>
            <color theme="1"/>
            <rFont val="Calibri"/>
            <family val="2"/>
            <scheme val="minor"/>
          </rPr>
          <t>Monto calculado automáticamente por el sistema</t>
        </r>
      </text>
    </comment>
    <comment ref="A4505" authorId="2">
      <text>
        <r>
          <rPr>
            <sz val="11"/>
            <color theme="1"/>
            <rFont val="Calibri"/>
            <family val="2"/>
            <scheme val="minor"/>
          </rPr>
          <t>Introducir un texto con el nombre o referencia de la contratación</t>
        </r>
      </text>
    </comment>
    <comment ref="B4505" authorId="2">
      <text>
        <r>
          <rPr>
            <sz val="11"/>
            <color theme="1"/>
            <rFont val="Calibri"/>
            <family val="2"/>
            <scheme val="minor"/>
          </rPr>
          <t>Introduzca un texto con la finalidad de la contratación</t>
        </r>
      </text>
    </comment>
    <comment ref="C4505" authorId="2">
      <text>
        <r>
          <rPr>
            <sz val="11"/>
            <color theme="1"/>
            <rFont val="Calibri"/>
            <family val="2"/>
            <scheme val="minor"/>
          </rPr>
          <t>Seleccionar un valor del listado</t>
        </r>
      </text>
    </comment>
    <comment ref="D4505" authorId="2">
      <text>
        <r>
          <rPr>
            <sz val="11"/>
            <color theme="1"/>
            <rFont val="Calibri"/>
            <family val="2"/>
            <scheme val="minor"/>
          </rPr>
          <t>Seleccione el tipo de procedimiento</t>
        </r>
      </text>
    </comment>
    <comment ref="E4505" authorId="2">
      <text>
        <r>
          <rPr>
            <sz val="11"/>
            <color theme="1"/>
            <rFont val="Calibri"/>
            <family val="2"/>
            <scheme val="minor"/>
          </rPr>
          <t>Seleccione un valor de la lista</t>
        </r>
      </text>
    </comment>
    <comment ref="F4505" authorId="2">
      <text>
        <r>
          <rPr>
            <sz val="11"/>
            <color theme="1"/>
            <rFont val="Calibri"/>
            <family val="2"/>
            <scheme val="minor"/>
          </rPr>
          <t>Introduzca el código SNIP</t>
        </r>
      </text>
    </comment>
    <comment ref="C4506" authorId="2">
      <text>
        <r>
          <rPr>
            <sz val="11"/>
            <color theme="1"/>
            <rFont val="Calibri"/>
            <family val="2"/>
            <scheme val="minor"/>
          </rPr>
          <t>Introduzca la fecha de inicio del proceso, en formato dd-mm-aaaa</t>
        </r>
      </text>
    </comment>
    <comment ref="F45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7" authorId="2">
      <text/>
    </comment>
    <comment ref="C4508" authorId="2">
      <text>
        <r>
          <rPr>
            <sz val="11"/>
            <color theme="1"/>
            <rFont val="Calibri"/>
            <family val="2"/>
            <scheme val="minor"/>
          </rPr>
          <t>Introduzca la fecha prevista de adjudicación, en formato dd-mm-aaaa</t>
        </r>
      </text>
    </comment>
    <comment ref="F4508" authorId="2">
      <text/>
    </comment>
    <comment ref="F4509" authorId="2">
      <text/>
    </comment>
    <comment ref="A4511" authorId="2">
      <text>
        <r>
          <rPr>
            <sz val="11"/>
            <color theme="1"/>
            <rFont val="Calibri"/>
            <family val="2"/>
            <scheme val="minor"/>
          </rPr>
          <t>Introduzca un codigo UNSPSC</t>
        </r>
      </text>
    </comment>
    <comment ref="B4511" authorId="2">
      <text>
        <r>
          <rPr>
            <sz val="11"/>
            <color theme="1"/>
            <rFont val="Calibri"/>
            <family val="2"/>
            <scheme val="minor"/>
          </rPr>
          <t>Descripción calculada automáticamente a partir de código del artículo</t>
        </r>
      </text>
    </comment>
    <comment ref="C4511" authorId="2">
      <text>
        <r>
          <rPr>
            <sz val="11"/>
            <color theme="1"/>
            <rFont val="Calibri"/>
            <family val="2"/>
            <scheme val="minor"/>
          </rPr>
          <t>Seleccione un valor de la lista</t>
        </r>
      </text>
    </comment>
    <comment ref="D4511" authorId="2">
      <text>
        <r>
          <rPr>
            <sz val="11"/>
            <color theme="1"/>
            <rFont val="Calibri"/>
            <family val="2"/>
            <scheme val="minor"/>
          </rPr>
          <t>Introduzca un número con dos decimales como máximo. Debe ser igual o mayor a la "Cantidad Real Consumida"</t>
        </r>
      </text>
    </comment>
    <comment ref="E4511" authorId="2">
      <text>
        <r>
          <rPr>
            <sz val="11"/>
            <color theme="1"/>
            <rFont val="Calibri"/>
            <family val="2"/>
            <scheme val="minor"/>
          </rPr>
          <t>Introduzca un número con dos decimales como máximo</t>
        </r>
      </text>
    </comment>
    <comment ref="F4511" authorId="2">
      <text>
        <r>
          <rPr>
            <sz val="11"/>
            <color theme="1"/>
            <rFont val="Calibri"/>
            <family val="2"/>
            <scheme val="minor"/>
          </rPr>
          <t>Monto calculado automáticamente por el sistema</t>
        </r>
      </text>
    </comment>
    <comment ref="A4517" authorId="2">
      <text>
        <r>
          <rPr>
            <sz val="11"/>
            <color theme="1"/>
            <rFont val="Calibri"/>
            <family val="2"/>
            <scheme val="minor"/>
          </rPr>
          <t>Introducir un texto con el nombre o referencia de la contratación</t>
        </r>
      </text>
    </comment>
    <comment ref="B4517" authorId="2">
      <text>
        <r>
          <rPr>
            <sz val="11"/>
            <color theme="1"/>
            <rFont val="Calibri"/>
            <family val="2"/>
            <scheme val="minor"/>
          </rPr>
          <t>Introduzca un texto con la finalidad de la contratación</t>
        </r>
      </text>
    </comment>
    <comment ref="C4517" authorId="2">
      <text>
        <r>
          <rPr>
            <sz val="11"/>
            <color theme="1"/>
            <rFont val="Calibri"/>
            <family val="2"/>
            <scheme val="minor"/>
          </rPr>
          <t>Seleccionar un valor del listado</t>
        </r>
      </text>
    </comment>
    <comment ref="D4517" authorId="2">
      <text>
        <r>
          <rPr>
            <sz val="11"/>
            <color theme="1"/>
            <rFont val="Calibri"/>
            <family val="2"/>
            <scheme val="minor"/>
          </rPr>
          <t>Seleccione el tipo de procedimiento</t>
        </r>
      </text>
    </comment>
    <comment ref="E4517" authorId="2">
      <text>
        <r>
          <rPr>
            <sz val="11"/>
            <color theme="1"/>
            <rFont val="Calibri"/>
            <family val="2"/>
            <scheme val="minor"/>
          </rPr>
          <t>Seleccione un valor de la lista</t>
        </r>
      </text>
    </comment>
    <comment ref="F4517" authorId="2">
      <text>
        <r>
          <rPr>
            <sz val="11"/>
            <color theme="1"/>
            <rFont val="Calibri"/>
            <family val="2"/>
            <scheme val="minor"/>
          </rPr>
          <t>Introduzca el código SNIP</t>
        </r>
      </text>
    </comment>
    <comment ref="C4518" authorId="2">
      <text>
        <r>
          <rPr>
            <sz val="11"/>
            <color theme="1"/>
            <rFont val="Calibri"/>
            <family val="2"/>
            <scheme val="minor"/>
          </rPr>
          <t>Introduzca la fecha de inicio del proceso, en formato dd-mm-aaaa</t>
        </r>
      </text>
    </comment>
    <comment ref="F45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9" authorId="2">
      <text/>
    </comment>
    <comment ref="C4520" authorId="2">
      <text>
        <r>
          <rPr>
            <sz val="11"/>
            <color theme="1"/>
            <rFont val="Calibri"/>
            <family val="2"/>
            <scheme val="minor"/>
          </rPr>
          <t>Introduzca la fecha prevista de adjudicación, en formato dd-mm-aaaa</t>
        </r>
      </text>
    </comment>
    <comment ref="F4520" authorId="2">
      <text/>
    </comment>
    <comment ref="F4521" authorId="2">
      <text/>
    </comment>
    <comment ref="A4523" authorId="2">
      <text>
        <r>
          <rPr>
            <sz val="11"/>
            <color theme="1"/>
            <rFont val="Calibri"/>
            <family val="2"/>
            <scheme val="minor"/>
          </rPr>
          <t>Introduzca un codigo UNSPSC</t>
        </r>
      </text>
    </comment>
    <comment ref="B4523" authorId="2">
      <text>
        <r>
          <rPr>
            <sz val="11"/>
            <color theme="1"/>
            <rFont val="Calibri"/>
            <family val="2"/>
            <scheme val="minor"/>
          </rPr>
          <t>Descripción calculada automáticamente a partir de código del artículo</t>
        </r>
      </text>
    </comment>
    <comment ref="C4523" authorId="2">
      <text>
        <r>
          <rPr>
            <sz val="11"/>
            <color theme="1"/>
            <rFont val="Calibri"/>
            <family val="2"/>
            <scheme val="minor"/>
          </rPr>
          <t>Seleccione un valor de la lista</t>
        </r>
      </text>
    </comment>
    <comment ref="D4523" authorId="2">
      <text>
        <r>
          <rPr>
            <sz val="11"/>
            <color theme="1"/>
            <rFont val="Calibri"/>
            <family val="2"/>
            <scheme val="minor"/>
          </rPr>
          <t>Introduzca un número con dos decimales como máximo. Debe ser igual o mayor a la "Cantidad Real Consumida"</t>
        </r>
      </text>
    </comment>
    <comment ref="E4523" authorId="2">
      <text>
        <r>
          <rPr>
            <sz val="11"/>
            <color theme="1"/>
            <rFont val="Calibri"/>
            <family val="2"/>
            <scheme val="minor"/>
          </rPr>
          <t>Introduzca un número con dos decimales como máximo</t>
        </r>
      </text>
    </comment>
    <comment ref="F4523" authorId="2">
      <text>
        <r>
          <rPr>
            <sz val="11"/>
            <color theme="1"/>
            <rFont val="Calibri"/>
            <family val="2"/>
            <scheme val="minor"/>
          </rPr>
          <t>Monto calculado automáticamente por el sistema</t>
        </r>
      </text>
    </comment>
    <comment ref="A4528" authorId="2">
      <text>
        <r>
          <rPr>
            <sz val="11"/>
            <color theme="1"/>
            <rFont val="Calibri"/>
            <family val="2"/>
            <scheme val="minor"/>
          </rPr>
          <t>Introducir un texto con el nombre o referencia de la contratación</t>
        </r>
      </text>
    </comment>
    <comment ref="B4528" authorId="2">
      <text>
        <r>
          <rPr>
            <sz val="11"/>
            <color theme="1"/>
            <rFont val="Calibri"/>
            <family val="2"/>
            <scheme val="minor"/>
          </rPr>
          <t>Introduzca un texto con la finalidad de la contratación</t>
        </r>
      </text>
    </comment>
    <comment ref="C4528" authorId="2">
      <text>
        <r>
          <rPr>
            <sz val="11"/>
            <color theme="1"/>
            <rFont val="Calibri"/>
            <family val="2"/>
            <scheme val="minor"/>
          </rPr>
          <t>Seleccionar un valor del listado</t>
        </r>
      </text>
    </comment>
    <comment ref="D4528" authorId="2">
      <text>
        <r>
          <rPr>
            <sz val="11"/>
            <color theme="1"/>
            <rFont val="Calibri"/>
            <family val="2"/>
            <scheme val="minor"/>
          </rPr>
          <t>Seleccione el tipo de procedimiento</t>
        </r>
      </text>
    </comment>
    <comment ref="E4528" authorId="2">
      <text>
        <r>
          <rPr>
            <sz val="11"/>
            <color theme="1"/>
            <rFont val="Calibri"/>
            <family val="2"/>
            <scheme val="minor"/>
          </rPr>
          <t>Seleccione un valor de la lista</t>
        </r>
      </text>
    </comment>
    <comment ref="F4528" authorId="2">
      <text>
        <r>
          <rPr>
            <sz val="11"/>
            <color theme="1"/>
            <rFont val="Calibri"/>
            <family val="2"/>
            <scheme val="minor"/>
          </rPr>
          <t>Introduzca el código SNIP</t>
        </r>
      </text>
    </comment>
    <comment ref="C4529" authorId="2">
      <text>
        <r>
          <rPr>
            <sz val="11"/>
            <color theme="1"/>
            <rFont val="Calibri"/>
            <family val="2"/>
            <scheme val="minor"/>
          </rPr>
          <t>Introduzca la fecha de inicio del proceso, en formato dd-mm-aaaa</t>
        </r>
      </text>
    </comment>
    <comment ref="F452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0" authorId="2">
      <text/>
    </comment>
    <comment ref="C4531" authorId="2">
      <text>
        <r>
          <rPr>
            <sz val="11"/>
            <color theme="1"/>
            <rFont val="Calibri"/>
            <family val="2"/>
            <scheme val="minor"/>
          </rPr>
          <t>Introduzca la fecha prevista de adjudicación, en formato dd-mm-aaaa</t>
        </r>
      </text>
    </comment>
    <comment ref="F4531" authorId="2">
      <text/>
    </comment>
    <comment ref="F4532" authorId="2">
      <text/>
    </comment>
    <comment ref="A4534" authorId="2">
      <text>
        <r>
          <rPr>
            <sz val="11"/>
            <color theme="1"/>
            <rFont val="Calibri"/>
            <family val="2"/>
            <scheme val="minor"/>
          </rPr>
          <t>Introduzca un codigo UNSPSC</t>
        </r>
      </text>
    </comment>
    <comment ref="B4534" authorId="2">
      <text>
        <r>
          <rPr>
            <sz val="11"/>
            <color theme="1"/>
            <rFont val="Calibri"/>
            <family val="2"/>
            <scheme val="minor"/>
          </rPr>
          <t>Descripción calculada automáticamente a partir de código del artículo</t>
        </r>
      </text>
    </comment>
    <comment ref="C4534" authorId="2">
      <text>
        <r>
          <rPr>
            <sz val="11"/>
            <color theme="1"/>
            <rFont val="Calibri"/>
            <family val="2"/>
            <scheme val="minor"/>
          </rPr>
          <t>Seleccione un valor de la lista</t>
        </r>
      </text>
    </comment>
    <comment ref="D4534" authorId="2">
      <text>
        <r>
          <rPr>
            <sz val="11"/>
            <color theme="1"/>
            <rFont val="Calibri"/>
            <family val="2"/>
            <scheme val="minor"/>
          </rPr>
          <t>Introduzca un número con dos decimales como máximo. Debe ser igual o mayor a la "Cantidad Real Consumida"</t>
        </r>
      </text>
    </comment>
    <comment ref="E4534" authorId="2">
      <text>
        <r>
          <rPr>
            <sz val="11"/>
            <color theme="1"/>
            <rFont val="Calibri"/>
            <family val="2"/>
            <scheme val="minor"/>
          </rPr>
          <t>Introduzca un número con dos decimales como máximo</t>
        </r>
      </text>
    </comment>
    <comment ref="F4534" authorId="2">
      <text>
        <r>
          <rPr>
            <sz val="11"/>
            <color theme="1"/>
            <rFont val="Calibri"/>
            <family val="2"/>
            <scheme val="minor"/>
          </rPr>
          <t>Monto calculado automáticamente por el sistema</t>
        </r>
      </text>
    </comment>
    <comment ref="A4539" authorId="2">
      <text>
        <r>
          <rPr>
            <sz val="11"/>
            <color theme="1"/>
            <rFont val="Calibri"/>
            <family val="2"/>
            <scheme val="minor"/>
          </rPr>
          <t>Introducir un texto con el nombre o referencia de la contratación</t>
        </r>
      </text>
    </comment>
    <comment ref="B4539" authorId="2">
      <text>
        <r>
          <rPr>
            <sz val="11"/>
            <color theme="1"/>
            <rFont val="Calibri"/>
            <family val="2"/>
            <scheme val="minor"/>
          </rPr>
          <t>Introduzca un texto con la finalidad de la contratación</t>
        </r>
      </text>
    </comment>
    <comment ref="C4539" authorId="2">
      <text>
        <r>
          <rPr>
            <sz val="11"/>
            <color theme="1"/>
            <rFont val="Calibri"/>
            <family val="2"/>
            <scheme val="minor"/>
          </rPr>
          <t>Seleccionar un valor del listado</t>
        </r>
      </text>
    </comment>
    <comment ref="D4539" authorId="2">
      <text>
        <r>
          <rPr>
            <sz val="11"/>
            <color theme="1"/>
            <rFont val="Calibri"/>
            <family val="2"/>
            <scheme val="minor"/>
          </rPr>
          <t>Seleccione el tipo de procedimiento</t>
        </r>
      </text>
    </comment>
    <comment ref="E4539" authorId="2">
      <text>
        <r>
          <rPr>
            <sz val="11"/>
            <color theme="1"/>
            <rFont val="Calibri"/>
            <family val="2"/>
            <scheme val="minor"/>
          </rPr>
          <t>Seleccione un valor de la lista</t>
        </r>
      </text>
    </comment>
    <comment ref="F4539" authorId="2">
      <text>
        <r>
          <rPr>
            <sz val="11"/>
            <color theme="1"/>
            <rFont val="Calibri"/>
            <family val="2"/>
            <scheme val="minor"/>
          </rPr>
          <t>Introduzca el código SNIP</t>
        </r>
      </text>
    </comment>
    <comment ref="C4540" authorId="2">
      <text>
        <r>
          <rPr>
            <sz val="11"/>
            <color theme="1"/>
            <rFont val="Calibri"/>
            <family val="2"/>
            <scheme val="minor"/>
          </rPr>
          <t>Introduzca la fecha de inicio del proceso, en formato dd-mm-aaaa</t>
        </r>
      </text>
    </comment>
    <comment ref="F45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1" authorId="2">
      <text/>
    </comment>
    <comment ref="C4542" authorId="2">
      <text>
        <r>
          <rPr>
            <sz val="11"/>
            <color theme="1"/>
            <rFont val="Calibri"/>
            <family val="2"/>
            <scheme val="minor"/>
          </rPr>
          <t>Introduzca la fecha prevista de adjudicación, en formato dd-mm-aaaa</t>
        </r>
      </text>
    </comment>
    <comment ref="F4542" authorId="2">
      <text/>
    </comment>
    <comment ref="F4543" authorId="2">
      <text/>
    </comment>
    <comment ref="A4545" authorId="2">
      <text>
        <r>
          <rPr>
            <sz val="11"/>
            <color theme="1"/>
            <rFont val="Calibri"/>
            <family val="2"/>
            <scheme val="minor"/>
          </rPr>
          <t>Introduzca un codigo UNSPSC</t>
        </r>
      </text>
    </comment>
    <comment ref="B4545" authorId="2">
      <text>
        <r>
          <rPr>
            <sz val="11"/>
            <color theme="1"/>
            <rFont val="Calibri"/>
            <family val="2"/>
            <scheme val="minor"/>
          </rPr>
          <t>Descripción calculada automáticamente a partir de código del artículo</t>
        </r>
      </text>
    </comment>
    <comment ref="C4545" authorId="2">
      <text>
        <r>
          <rPr>
            <sz val="11"/>
            <color theme="1"/>
            <rFont val="Calibri"/>
            <family val="2"/>
            <scheme val="minor"/>
          </rPr>
          <t>Seleccione un valor de la lista</t>
        </r>
      </text>
    </comment>
    <comment ref="D4545" authorId="2">
      <text>
        <r>
          <rPr>
            <sz val="11"/>
            <color theme="1"/>
            <rFont val="Calibri"/>
            <family val="2"/>
            <scheme val="minor"/>
          </rPr>
          <t>Introduzca un número con dos decimales como máximo. Debe ser igual o mayor a la "Cantidad Real Consumida"</t>
        </r>
      </text>
    </comment>
    <comment ref="E4545" authorId="2">
      <text>
        <r>
          <rPr>
            <sz val="11"/>
            <color theme="1"/>
            <rFont val="Calibri"/>
            <family val="2"/>
            <scheme val="minor"/>
          </rPr>
          <t>Introduzca un número con dos decimales como máximo</t>
        </r>
      </text>
    </comment>
    <comment ref="F4545" authorId="2">
      <text>
        <r>
          <rPr>
            <sz val="11"/>
            <color theme="1"/>
            <rFont val="Calibri"/>
            <family val="2"/>
            <scheme val="minor"/>
          </rPr>
          <t>Monto calculado automáticamente por el sistema</t>
        </r>
      </text>
    </comment>
    <comment ref="A4550" authorId="2">
      <text>
        <r>
          <rPr>
            <sz val="11"/>
            <color theme="1"/>
            <rFont val="Calibri"/>
            <family val="2"/>
            <scheme val="minor"/>
          </rPr>
          <t>Introducir un texto con el nombre o referencia de la contratación</t>
        </r>
      </text>
    </comment>
    <comment ref="B4550" authorId="2">
      <text>
        <r>
          <rPr>
            <sz val="11"/>
            <color theme="1"/>
            <rFont val="Calibri"/>
            <family val="2"/>
            <scheme val="minor"/>
          </rPr>
          <t>Introduzca un texto con la finalidad de la contratación</t>
        </r>
      </text>
    </comment>
    <comment ref="C4550" authorId="2">
      <text>
        <r>
          <rPr>
            <sz val="11"/>
            <color theme="1"/>
            <rFont val="Calibri"/>
            <family val="2"/>
            <scheme val="minor"/>
          </rPr>
          <t>Seleccionar un valor del listado</t>
        </r>
      </text>
    </comment>
    <comment ref="D4550" authorId="2">
      <text>
        <r>
          <rPr>
            <sz val="11"/>
            <color theme="1"/>
            <rFont val="Calibri"/>
            <family val="2"/>
            <scheme val="minor"/>
          </rPr>
          <t>Seleccione el tipo de procedimiento</t>
        </r>
      </text>
    </comment>
    <comment ref="E4550" authorId="2">
      <text>
        <r>
          <rPr>
            <sz val="11"/>
            <color theme="1"/>
            <rFont val="Calibri"/>
            <family val="2"/>
            <scheme val="minor"/>
          </rPr>
          <t>Seleccione un valor de la lista</t>
        </r>
      </text>
    </comment>
    <comment ref="F4550" authorId="2">
      <text>
        <r>
          <rPr>
            <sz val="11"/>
            <color theme="1"/>
            <rFont val="Calibri"/>
            <family val="2"/>
            <scheme val="minor"/>
          </rPr>
          <t>Introduzca el código SNIP</t>
        </r>
      </text>
    </comment>
    <comment ref="C4551" authorId="2">
      <text>
        <r>
          <rPr>
            <sz val="11"/>
            <color theme="1"/>
            <rFont val="Calibri"/>
            <family val="2"/>
            <scheme val="minor"/>
          </rPr>
          <t>Introduzca la fecha de inicio del proceso, en formato dd-mm-aaaa</t>
        </r>
      </text>
    </comment>
    <comment ref="F45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2" authorId="2">
      <text/>
    </comment>
    <comment ref="C4553" authorId="2">
      <text>
        <r>
          <rPr>
            <sz val="11"/>
            <color theme="1"/>
            <rFont val="Calibri"/>
            <family val="2"/>
            <scheme val="minor"/>
          </rPr>
          <t>Introduzca la fecha prevista de adjudicación, en formato dd-mm-aaaa</t>
        </r>
      </text>
    </comment>
    <comment ref="F4553" authorId="2">
      <text/>
    </comment>
    <comment ref="F4554" authorId="2">
      <text/>
    </comment>
    <comment ref="A4556" authorId="2">
      <text>
        <r>
          <rPr>
            <sz val="11"/>
            <color theme="1"/>
            <rFont val="Calibri"/>
            <family val="2"/>
            <scheme val="minor"/>
          </rPr>
          <t>Introduzca un codigo UNSPSC</t>
        </r>
      </text>
    </comment>
    <comment ref="B4556" authorId="2">
      <text>
        <r>
          <rPr>
            <sz val="11"/>
            <color theme="1"/>
            <rFont val="Calibri"/>
            <family val="2"/>
            <scheme val="minor"/>
          </rPr>
          <t>Descripción calculada automáticamente a partir de código del artículo</t>
        </r>
      </text>
    </comment>
    <comment ref="C4556" authorId="2">
      <text>
        <r>
          <rPr>
            <sz val="11"/>
            <color theme="1"/>
            <rFont val="Calibri"/>
            <family val="2"/>
            <scheme val="minor"/>
          </rPr>
          <t>Seleccione un valor de la lista</t>
        </r>
      </text>
    </comment>
    <comment ref="D4556" authorId="2">
      <text>
        <r>
          <rPr>
            <sz val="11"/>
            <color theme="1"/>
            <rFont val="Calibri"/>
            <family val="2"/>
            <scheme val="minor"/>
          </rPr>
          <t>Introduzca un número con dos decimales como máximo. Debe ser igual o mayor a la "Cantidad Real Consumida"</t>
        </r>
      </text>
    </comment>
    <comment ref="E4556" authorId="2">
      <text>
        <r>
          <rPr>
            <sz val="11"/>
            <color theme="1"/>
            <rFont val="Calibri"/>
            <family val="2"/>
            <scheme val="minor"/>
          </rPr>
          <t>Introduzca un número con dos decimales como máximo</t>
        </r>
      </text>
    </comment>
    <comment ref="F4556" authorId="2">
      <text>
        <r>
          <rPr>
            <sz val="11"/>
            <color theme="1"/>
            <rFont val="Calibri"/>
            <family val="2"/>
            <scheme val="minor"/>
          </rPr>
          <t>Monto calculado automáticamente por el sistema</t>
        </r>
      </text>
    </comment>
    <comment ref="A4576" authorId="2">
      <text>
        <r>
          <rPr>
            <sz val="11"/>
            <color theme="1"/>
            <rFont val="Calibri"/>
            <family val="2"/>
            <scheme val="minor"/>
          </rPr>
          <t>Introducir un texto con el nombre o referencia de la contratación</t>
        </r>
      </text>
    </comment>
    <comment ref="B4576" authorId="2">
      <text>
        <r>
          <rPr>
            <sz val="11"/>
            <color theme="1"/>
            <rFont val="Calibri"/>
            <family val="2"/>
            <scheme val="minor"/>
          </rPr>
          <t>Introduzca un texto con la finalidad de la contratación</t>
        </r>
      </text>
    </comment>
    <comment ref="C4576" authorId="2">
      <text>
        <r>
          <rPr>
            <sz val="11"/>
            <color theme="1"/>
            <rFont val="Calibri"/>
            <family val="2"/>
            <scheme val="minor"/>
          </rPr>
          <t>Seleccionar un valor del listado</t>
        </r>
      </text>
    </comment>
    <comment ref="D4576" authorId="2">
      <text>
        <r>
          <rPr>
            <sz val="11"/>
            <color theme="1"/>
            <rFont val="Calibri"/>
            <family val="2"/>
            <scheme val="minor"/>
          </rPr>
          <t>Seleccione el tipo de procedimiento</t>
        </r>
      </text>
    </comment>
    <comment ref="E4576" authorId="2">
      <text>
        <r>
          <rPr>
            <sz val="11"/>
            <color theme="1"/>
            <rFont val="Calibri"/>
            <family val="2"/>
            <scheme val="minor"/>
          </rPr>
          <t>Seleccione un valor de la lista</t>
        </r>
      </text>
    </comment>
    <comment ref="F4576" authorId="2">
      <text>
        <r>
          <rPr>
            <sz val="11"/>
            <color theme="1"/>
            <rFont val="Calibri"/>
            <family val="2"/>
            <scheme val="minor"/>
          </rPr>
          <t>Introduzca el código SNIP</t>
        </r>
      </text>
    </comment>
    <comment ref="C4577" authorId="2">
      <text>
        <r>
          <rPr>
            <sz val="11"/>
            <color theme="1"/>
            <rFont val="Calibri"/>
            <family val="2"/>
            <scheme val="minor"/>
          </rPr>
          <t>Introduzca la fecha de inicio del proceso, en formato dd-mm-aaaa</t>
        </r>
      </text>
    </comment>
    <comment ref="F4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8" authorId="2">
      <text/>
    </comment>
    <comment ref="C4579" authorId="2">
      <text>
        <r>
          <rPr>
            <sz val="11"/>
            <color theme="1"/>
            <rFont val="Calibri"/>
            <family val="2"/>
            <scheme val="minor"/>
          </rPr>
          <t>Introduzca la fecha prevista de adjudicación, en formato dd-mm-aaaa</t>
        </r>
      </text>
    </comment>
    <comment ref="F4579" authorId="2">
      <text/>
    </comment>
    <comment ref="F4580" authorId="2">
      <text/>
    </comment>
    <comment ref="A4582" authorId="2">
      <text>
        <r>
          <rPr>
            <sz val="11"/>
            <color theme="1"/>
            <rFont val="Calibri"/>
            <family val="2"/>
            <scheme val="minor"/>
          </rPr>
          <t>Introduzca un codigo UNSPSC</t>
        </r>
      </text>
    </comment>
    <comment ref="B4582" authorId="2">
      <text>
        <r>
          <rPr>
            <sz val="11"/>
            <color theme="1"/>
            <rFont val="Calibri"/>
            <family val="2"/>
            <scheme val="minor"/>
          </rPr>
          <t>Descripción calculada automáticamente a partir de código del artículo</t>
        </r>
      </text>
    </comment>
    <comment ref="C4582" authorId="2">
      <text>
        <r>
          <rPr>
            <sz val="11"/>
            <color theme="1"/>
            <rFont val="Calibri"/>
            <family val="2"/>
            <scheme val="minor"/>
          </rPr>
          <t>Seleccione un valor de la lista</t>
        </r>
      </text>
    </comment>
    <comment ref="D4582" authorId="2">
      <text>
        <r>
          <rPr>
            <sz val="11"/>
            <color theme="1"/>
            <rFont val="Calibri"/>
            <family val="2"/>
            <scheme val="minor"/>
          </rPr>
          <t>Introduzca un número con dos decimales como máximo. Debe ser igual o mayor a la "Cantidad Real Consumida"</t>
        </r>
      </text>
    </comment>
    <comment ref="E4582" authorId="2">
      <text>
        <r>
          <rPr>
            <sz val="11"/>
            <color theme="1"/>
            <rFont val="Calibri"/>
            <family val="2"/>
            <scheme val="minor"/>
          </rPr>
          <t>Introduzca un número con dos decimales como máximo</t>
        </r>
      </text>
    </comment>
    <comment ref="F4582" authorId="2">
      <text>
        <r>
          <rPr>
            <sz val="11"/>
            <color theme="1"/>
            <rFont val="Calibri"/>
            <family val="2"/>
            <scheme val="minor"/>
          </rPr>
          <t>Monto calculado automáticamente por el sistema</t>
        </r>
      </text>
    </comment>
    <comment ref="A4597" authorId="2">
      <text>
        <r>
          <rPr>
            <sz val="11"/>
            <color theme="1"/>
            <rFont val="Calibri"/>
            <family val="2"/>
            <scheme val="minor"/>
          </rPr>
          <t>Introducir un texto con el nombre o referencia de la contratación</t>
        </r>
      </text>
    </comment>
    <comment ref="B4597" authorId="2">
      <text>
        <r>
          <rPr>
            <sz val="11"/>
            <color theme="1"/>
            <rFont val="Calibri"/>
            <family val="2"/>
            <scheme val="minor"/>
          </rPr>
          <t>Introduzca un texto con la finalidad de la contratación</t>
        </r>
      </text>
    </comment>
    <comment ref="C4597" authorId="2">
      <text>
        <r>
          <rPr>
            <sz val="11"/>
            <color theme="1"/>
            <rFont val="Calibri"/>
            <family val="2"/>
            <scheme val="minor"/>
          </rPr>
          <t>Seleccionar un valor del listado</t>
        </r>
      </text>
    </comment>
    <comment ref="D4597" authorId="2">
      <text>
        <r>
          <rPr>
            <sz val="11"/>
            <color theme="1"/>
            <rFont val="Calibri"/>
            <family val="2"/>
            <scheme val="minor"/>
          </rPr>
          <t>Seleccione el tipo de procedimiento</t>
        </r>
      </text>
    </comment>
    <comment ref="E4597" authorId="2">
      <text>
        <r>
          <rPr>
            <sz val="11"/>
            <color theme="1"/>
            <rFont val="Calibri"/>
            <family val="2"/>
            <scheme val="minor"/>
          </rPr>
          <t>Seleccione un valor de la lista</t>
        </r>
      </text>
    </comment>
    <comment ref="F4597" authorId="2">
      <text>
        <r>
          <rPr>
            <sz val="11"/>
            <color theme="1"/>
            <rFont val="Calibri"/>
            <family val="2"/>
            <scheme val="minor"/>
          </rPr>
          <t>Introduzca el código SNIP</t>
        </r>
      </text>
    </comment>
    <comment ref="C4598" authorId="2">
      <text>
        <r>
          <rPr>
            <sz val="11"/>
            <color theme="1"/>
            <rFont val="Calibri"/>
            <family val="2"/>
            <scheme val="minor"/>
          </rPr>
          <t>Introduzca la fecha de inicio del proceso, en formato dd-mm-aaaa</t>
        </r>
      </text>
    </comment>
    <comment ref="F45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9" authorId="2">
      <text/>
    </comment>
    <comment ref="C4600" authorId="2">
      <text>
        <r>
          <rPr>
            <sz val="11"/>
            <color theme="1"/>
            <rFont val="Calibri"/>
            <family val="2"/>
            <scheme val="minor"/>
          </rPr>
          <t>Introduzca la fecha prevista de adjudicación, en formato dd-mm-aaaa</t>
        </r>
      </text>
    </comment>
    <comment ref="F4600" authorId="2">
      <text/>
    </comment>
    <comment ref="F4601" authorId="2">
      <text/>
    </comment>
    <comment ref="A4603" authorId="2">
      <text>
        <r>
          <rPr>
            <sz val="11"/>
            <color theme="1"/>
            <rFont val="Calibri"/>
            <family val="2"/>
            <scheme val="minor"/>
          </rPr>
          <t>Introduzca un codigo UNSPSC</t>
        </r>
      </text>
    </comment>
    <comment ref="B4603" authorId="2">
      <text>
        <r>
          <rPr>
            <sz val="11"/>
            <color theme="1"/>
            <rFont val="Calibri"/>
            <family val="2"/>
            <scheme val="minor"/>
          </rPr>
          <t>Descripción calculada automáticamente a partir de código del artículo</t>
        </r>
      </text>
    </comment>
    <comment ref="C4603" authorId="2">
      <text>
        <r>
          <rPr>
            <sz val="11"/>
            <color theme="1"/>
            <rFont val="Calibri"/>
            <family val="2"/>
            <scheme val="minor"/>
          </rPr>
          <t>Seleccione un valor de la lista</t>
        </r>
      </text>
    </comment>
    <comment ref="D4603" authorId="2">
      <text>
        <r>
          <rPr>
            <sz val="11"/>
            <color theme="1"/>
            <rFont val="Calibri"/>
            <family val="2"/>
            <scheme val="minor"/>
          </rPr>
          <t>Introduzca un número con dos decimales como máximo. Debe ser igual o mayor a la "Cantidad Real Consumida"</t>
        </r>
      </text>
    </comment>
    <comment ref="E4603" authorId="2">
      <text>
        <r>
          <rPr>
            <sz val="11"/>
            <color theme="1"/>
            <rFont val="Calibri"/>
            <family val="2"/>
            <scheme val="minor"/>
          </rPr>
          <t>Introduzca un número con dos decimales como máximo</t>
        </r>
      </text>
    </comment>
    <comment ref="F4603" authorId="2">
      <text>
        <r>
          <rPr>
            <sz val="11"/>
            <color theme="1"/>
            <rFont val="Calibri"/>
            <family val="2"/>
            <scheme val="minor"/>
          </rPr>
          <t>Monto calculado automáticamente por el sistema</t>
        </r>
      </text>
    </comment>
    <comment ref="A4609" authorId="2">
      <text>
        <r>
          <rPr>
            <sz val="11"/>
            <color theme="1"/>
            <rFont val="Calibri"/>
            <family val="2"/>
            <scheme val="minor"/>
          </rPr>
          <t>Introducir un texto con el nombre o referencia de la contratación</t>
        </r>
      </text>
    </comment>
    <comment ref="B4609" authorId="2">
      <text>
        <r>
          <rPr>
            <sz val="11"/>
            <color theme="1"/>
            <rFont val="Calibri"/>
            <family val="2"/>
            <scheme val="minor"/>
          </rPr>
          <t>Introduzca un texto con la finalidad de la contratación</t>
        </r>
      </text>
    </comment>
    <comment ref="C4609" authorId="2">
      <text>
        <r>
          <rPr>
            <sz val="11"/>
            <color theme="1"/>
            <rFont val="Calibri"/>
            <family val="2"/>
            <scheme val="minor"/>
          </rPr>
          <t>Seleccionar un valor del listado</t>
        </r>
      </text>
    </comment>
    <comment ref="D4609" authorId="2">
      <text>
        <r>
          <rPr>
            <sz val="11"/>
            <color theme="1"/>
            <rFont val="Calibri"/>
            <family val="2"/>
            <scheme val="minor"/>
          </rPr>
          <t>Seleccione el tipo de procedimiento</t>
        </r>
      </text>
    </comment>
    <comment ref="E4609" authorId="2">
      <text>
        <r>
          <rPr>
            <sz val="11"/>
            <color theme="1"/>
            <rFont val="Calibri"/>
            <family val="2"/>
            <scheme val="minor"/>
          </rPr>
          <t>Seleccione un valor de la lista</t>
        </r>
      </text>
    </comment>
    <comment ref="F4609" authorId="2">
      <text>
        <r>
          <rPr>
            <sz val="11"/>
            <color theme="1"/>
            <rFont val="Calibri"/>
            <family val="2"/>
            <scheme val="minor"/>
          </rPr>
          <t>Introduzca el código SNIP</t>
        </r>
      </text>
    </comment>
    <comment ref="C4610" authorId="2">
      <text>
        <r>
          <rPr>
            <sz val="11"/>
            <color theme="1"/>
            <rFont val="Calibri"/>
            <family val="2"/>
            <scheme val="minor"/>
          </rPr>
          <t>Introduzca la fecha de inicio del proceso, en formato dd-mm-aaaa</t>
        </r>
      </text>
    </comment>
    <comment ref="F46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1" authorId="2">
      <text/>
    </comment>
    <comment ref="C4612" authorId="2">
      <text>
        <r>
          <rPr>
            <sz val="11"/>
            <color theme="1"/>
            <rFont val="Calibri"/>
            <family val="2"/>
            <scheme val="minor"/>
          </rPr>
          <t>Introduzca la fecha prevista de adjudicación, en formato dd-mm-aaaa</t>
        </r>
      </text>
    </comment>
    <comment ref="F4612" authorId="2">
      <text/>
    </comment>
    <comment ref="F4613" authorId="2">
      <text/>
    </comment>
    <comment ref="A4615" authorId="2">
      <text>
        <r>
          <rPr>
            <sz val="11"/>
            <color theme="1"/>
            <rFont val="Calibri"/>
            <family val="2"/>
            <scheme val="minor"/>
          </rPr>
          <t>Introduzca un codigo UNSPSC</t>
        </r>
      </text>
    </comment>
    <comment ref="B4615" authorId="2">
      <text>
        <r>
          <rPr>
            <sz val="11"/>
            <color theme="1"/>
            <rFont val="Calibri"/>
            <family val="2"/>
            <scheme val="minor"/>
          </rPr>
          <t>Descripción calculada automáticamente a partir de código del artículo</t>
        </r>
      </text>
    </comment>
    <comment ref="C4615" authorId="2">
      <text>
        <r>
          <rPr>
            <sz val="11"/>
            <color theme="1"/>
            <rFont val="Calibri"/>
            <family val="2"/>
            <scheme val="minor"/>
          </rPr>
          <t>Seleccione un valor de la lista</t>
        </r>
      </text>
    </comment>
    <comment ref="D4615" authorId="2">
      <text>
        <r>
          <rPr>
            <sz val="11"/>
            <color theme="1"/>
            <rFont val="Calibri"/>
            <family val="2"/>
            <scheme val="minor"/>
          </rPr>
          <t>Introduzca un número con dos decimales como máximo. Debe ser igual o mayor a la "Cantidad Real Consumida"</t>
        </r>
      </text>
    </comment>
    <comment ref="E4615" authorId="2">
      <text>
        <r>
          <rPr>
            <sz val="11"/>
            <color theme="1"/>
            <rFont val="Calibri"/>
            <family val="2"/>
            <scheme val="minor"/>
          </rPr>
          <t>Introduzca un número con dos decimales como máximo</t>
        </r>
      </text>
    </comment>
    <comment ref="F4615" authorId="2">
      <text>
        <r>
          <rPr>
            <sz val="11"/>
            <color theme="1"/>
            <rFont val="Calibri"/>
            <family val="2"/>
            <scheme val="minor"/>
          </rPr>
          <t>Monto calculado automáticamente por el sistema</t>
        </r>
      </text>
    </comment>
    <comment ref="A4621" authorId="2">
      <text>
        <r>
          <rPr>
            <sz val="11"/>
            <color theme="1"/>
            <rFont val="Calibri"/>
            <family val="2"/>
            <scheme val="minor"/>
          </rPr>
          <t>Introducir un texto con el nombre o referencia de la contratación</t>
        </r>
      </text>
    </comment>
    <comment ref="B4621" authorId="2">
      <text>
        <r>
          <rPr>
            <sz val="11"/>
            <color theme="1"/>
            <rFont val="Calibri"/>
            <family val="2"/>
            <scheme val="minor"/>
          </rPr>
          <t>Introduzca un texto con la finalidad de la contratación</t>
        </r>
      </text>
    </comment>
    <comment ref="C4621" authorId="2">
      <text>
        <r>
          <rPr>
            <sz val="11"/>
            <color theme="1"/>
            <rFont val="Calibri"/>
            <family val="2"/>
            <scheme val="minor"/>
          </rPr>
          <t>Seleccionar un valor del listado</t>
        </r>
      </text>
    </comment>
    <comment ref="D4621" authorId="2">
      <text>
        <r>
          <rPr>
            <sz val="11"/>
            <color theme="1"/>
            <rFont val="Calibri"/>
            <family val="2"/>
            <scheme val="minor"/>
          </rPr>
          <t>Seleccione el tipo de procedimiento</t>
        </r>
      </text>
    </comment>
    <comment ref="E4621" authorId="2">
      <text>
        <r>
          <rPr>
            <sz val="11"/>
            <color theme="1"/>
            <rFont val="Calibri"/>
            <family val="2"/>
            <scheme val="minor"/>
          </rPr>
          <t>Seleccione un valor de la lista</t>
        </r>
      </text>
    </comment>
    <comment ref="F4621" authorId="2">
      <text>
        <r>
          <rPr>
            <sz val="11"/>
            <color theme="1"/>
            <rFont val="Calibri"/>
            <family val="2"/>
            <scheme val="minor"/>
          </rPr>
          <t>Introduzca el código SNIP</t>
        </r>
      </text>
    </comment>
    <comment ref="C4622" authorId="2">
      <text>
        <r>
          <rPr>
            <sz val="11"/>
            <color theme="1"/>
            <rFont val="Calibri"/>
            <family val="2"/>
            <scheme val="minor"/>
          </rPr>
          <t>Introduzca la fecha de inicio del proceso, en formato dd-mm-aaaa</t>
        </r>
      </text>
    </comment>
    <comment ref="F46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3" authorId="2">
      <text/>
    </comment>
    <comment ref="C4624" authorId="2">
      <text>
        <r>
          <rPr>
            <sz val="11"/>
            <color theme="1"/>
            <rFont val="Calibri"/>
            <family val="2"/>
            <scheme val="minor"/>
          </rPr>
          <t>Introduzca la fecha prevista de adjudicación, en formato dd-mm-aaaa</t>
        </r>
      </text>
    </comment>
    <comment ref="F4624" authorId="2">
      <text/>
    </comment>
    <comment ref="F4625" authorId="2">
      <text/>
    </comment>
    <comment ref="A4627" authorId="2">
      <text>
        <r>
          <rPr>
            <sz val="11"/>
            <color theme="1"/>
            <rFont val="Calibri"/>
            <family val="2"/>
            <scheme val="minor"/>
          </rPr>
          <t>Introduzca un codigo UNSPSC</t>
        </r>
      </text>
    </comment>
    <comment ref="B4627" authorId="2">
      <text>
        <r>
          <rPr>
            <sz val="11"/>
            <color theme="1"/>
            <rFont val="Calibri"/>
            <family val="2"/>
            <scheme val="minor"/>
          </rPr>
          <t>Descripción calculada automáticamente a partir de código del artículo</t>
        </r>
      </text>
    </comment>
    <comment ref="C4627" authorId="2">
      <text>
        <r>
          <rPr>
            <sz val="11"/>
            <color theme="1"/>
            <rFont val="Calibri"/>
            <family val="2"/>
            <scheme val="minor"/>
          </rPr>
          <t>Seleccione un valor de la lista</t>
        </r>
      </text>
    </comment>
    <comment ref="D4627" authorId="2">
      <text>
        <r>
          <rPr>
            <sz val="11"/>
            <color theme="1"/>
            <rFont val="Calibri"/>
            <family val="2"/>
            <scheme val="minor"/>
          </rPr>
          <t>Introduzca un número con dos decimales como máximo. Debe ser igual o mayor a la "Cantidad Real Consumida"</t>
        </r>
      </text>
    </comment>
    <comment ref="E4627" authorId="2">
      <text>
        <r>
          <rPr>
            <sz val="11"/>
            <color theme="1"/>
            <rFont val="Calibri"/>
            <family val="2"/>
            <scheme val="minor"/>
          </rPr>
          <t>Introduzca un número con dos decimales como máximo</t>
        </r>
      </text>
    </comment>
    <comment ref="F4627" authorId="2">
      <text>
        <r>
          <rPr>
            <sz val="11"/>
            <color theme="1"/>
            <rFont val="Calibri"/>
            <family val="2"/>
            <scheme val="minor"/>
          </rPr>
          <t>Monto calculado automáticamente por el sistema</t>
        </r>
      </text>
    </comment>
    <comment ref="A4632" authorId="2">
      <text>
        <r>
          <rPr>
            <sz val="11"/>
            <color theme="1"/>
            <rFont val="Calibri"/>
            <family val="2"/>
            <scheme val="minor"/>
          </rPr>
          <t>Introducir un texto con el nombre o referencia de la contratación</t>
        </r>
      </text>
    </comment>
    <comment ref="B4632" authorId="2">
      <text>
        <r>
          <rPr>
            <sz val="11"/>
            <color theme="1"/>
            <rFont val="Calibri"/>
            <family val="2"/>
            <scheme val="minor"/>
          </rPr>
          <t>Introduzca un texto con la finalidad de la contratación</t>
        </r>
      </text>
    </comment>
    <comment ref="C4632" authorId="2">
      <text>
        <r>
          <rPr>
            <sz val="11"/>
            <color theme="1"/>
            <rFont val="Calibri"/>
            <family val="2"/>
            <scheme val="minor"/>
          </rPr>
          <t>Seleccionar un valor del listado</t>
        </r>
      </text>
    </comment>
    <comment ref="D4632" authorId="2">
      <text>
        <r>
          <rPr>
            <sz val="11"/>
            <color theme="1"/>
            <rFont val="Calibri"/>
            <family val="2"/>
            <scheme val="minor"/>
          </rPr>
          <t>Seleccione el tipo de procedimiento</t>
        </r>
      </text>
    </comment>
    <comment ref="E4632" authorId="2">
      <text>
        <r>
          <rPr>
            <sz val="11"/>
            <color theme="1"/>
            <rFont val="Calibri"/>
            <family val="2"/>
            <scheme val="minor"/>
          </rPr>
          <t>Seleccione un valor de la lista</t>
        </r>
      </text>
    </comment>
    <comment ref="F4632" authorId="2">
      <text>
        <r>
          <rPr>
            <sz val="11"/>
            <color theme="1"/>
            <rFont val="Calibri"/>
            <family val="2"/>
            <scheme val="minor"/>
          </rPr>
          <t>Introduzca el código SNIP</t>
        </r>
      </text>
    </comment>
    <comment ref="C4633" authorId="2">
      <text>
        <r>
          <rPr>
            <sz val="11"/>
            <color theme="1"/>
            <rFont val="Calibri"/>
            <family val="2"/>
            <scheme val="minor"/>
          </rPr>
          <t>Introduzca la fecha de inicio del proceso, en formato dd-mm-aaaa</t>
        </r>
      </text>
    </comment>
    <comment ref="F46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4" authorId="2">
      <text/>
    </comment>
    <comment ref="C4635" authorId="2">
      <text>
        <r>
          <rPr>
            <sz val="11"/>
            <color theme="1"/>
            <rFont val="Calibri"/>
            <family val="2"/>
            <scheme val="minor"/>
          </rPr>
          <t>Introduzca la fecha prevista de adjudicación, en formato dd-mm-aaaa</t>
        </r>
      </text>
    </comment>
    <comment ref="F4635" authorId="2">
      <text/>
    </comment>
    <comment ref="F4636" authorId="2">
      <text/>
    </comment>
    <comment ref="A4638" authorId="2">
      <text>
        <r>
          <rPr>
            <sz val="11"/>
            <color theme="1"/>
            <rFont val="Calibri"/>
            <family val="2"/>
            <scheme val="minor"/>
          </rPr>
          <t>Introduzca un codigo UNSPSC</t>
        </r>
      </text>
    </comment>
    <comment ref="B4638" authorId="2">
      <text>
        <r>
          <rPr>
            <sz val="11"/>
            <color theme="1"/>
            <rFont val="Calibri"/>
            <family val="2"/>
            <scheme val="minor"/>
          </rPr>
          <t>Descripción calculada automáticamente a partir de código del artículo</t>
        </r>
      </text>
    </comment>
    <comment ref="C4638" authorId="2">
      <text>
        <r>
          <rPr>
            <sz val="11"/>
            <color theme="1"/>
            <rFont val="Calibri"/>
            <family val="2"/>
            <scheme val="minor"/>
          </rPr>
          <t>Seleccione un valor de la lista</t>
        </r>
      </text>
    </comment>
    <comment ref="D4638" authorId="2">
      <text>
        <r>
          <rPr>
            <sz val="11"/>
            <color theme="1"/>
            <rFont val="Calibri"/>
            <family val="2"/>
            <scheme val="minor"/>
          </rPr>
          <t>Introduzca un número con dos decimales como máximo. Debe ser igual o mayor a la "Cantidad Real Consumida"</t>
        </r>
      </text>
    </comment>
    <comment ref="E4638" authorId="2">
      <text>
        <r>
          <rPr>
            <sz val="11"/>
            <color theme="1"/>
            <rFont val="Calibri"/>
            <family val="2"/>
            <scheme val="minor"/>
          </rPr>
          <t>Introduzca un número con dos decimales como máximo</t>
        </r>
      </text>
    </comment>
    <comment ref="F4638" authorId="2">
      <text>
        <r>
          <rPr>
            <sz val="11"/>
            <color theme="1"/>
            <rFont val="Calibri"/>
            <family val="2"/>
            <scheme val="minor"/>
          </rPr>
          <t>Monto calculado automáticamente por el sistema</t>
        </r>
      </text>
    </comment>
    <comment ref="A4643" authorId="2">
      <text>
        <r>
          <rPr>
            <sz val="11"/>
            <color theme="1"/>
            <rFont val="Calibri"/>
            <family val="2"/>
            <scheme val="minor"/>
          </rPr>
          <t>Introducir un texto con el nombre o referencia de la contratación</t>
        </r>
      </text>
    </comment>
    <comment ref="B4643" authorId="2">
      <text>
        <r>
          <rPr>
            <sz val="11"/>
            <color theme="1"/>
            <rFont val="Calibri"/>
            <family val="2"/>
            <scheme val="minor"/>
          </rPr>
          <t>Introduzca un texto con la finalidad de la contratación</t>
        </r>
      </text>
    </comment>
    <comment ref="C4643" authorId="2">
      <text>
        <r>
          <rPr>
            <sz val="11"/>
            <color theme="1"/>
            <rFont val="Calibri"/>
            <family val="2"/>
            <scheme val="minor"/>
          </rPr>
          <t>Seleccionar un valor del listado</t>
        </r>
      </text>
    </comment>
    <comment ref="D4643" authorId="2">
      <text>
        <r>
          <rPr>
            <sz val="11"/>
            <color theme="1"/>
            <rFont val="Calibri"/>
            <family val="2"/>
            <scheme val="minor"/>
          </rPr>
          <t>Seleccione el tipo de procedimiento</t>
        </r>
      </text>
    </comment>
    <comment ref="E4643" authorId="2">
      <text>
        <r>
          <rPr>
            <sz val="11"/>
            <color theme="1"/>
            <rFont val="Calibri"/>
            <family val="2"/>
            <scheme val="minor"/>
          </rPr>
          <t>Seleccione un valor de la lista</t>
        </r>
      </text>
    </comment>
    <comment ref="F4643" authorId="2">
      <text>
        <r>
          <rPr>
            <sz val="11"/>
            <color theme="1"/>
            <rFont val="Calibri"/>
            <family val="2"/>
            <scheme val="minor"/>
          </rPr>
          <t>Introduzca el código SNIP</t>
        </r>
      </text>
    </comment>
    <comment ref="C4644" authorId="2">
      <text>
        <r>
          <rPr>
            <sz val="11"/>
            <color theme="1"/>
            <rFont val="Calibri"/>
            <family val="2"/>
            <scheme val="minor"/>
          </rPr>
          <t>Introduzca la fecha de inicio del proceso, en formato dd-mm-aaaa</t>
        </r>
      </text>
    </comment>
    <comment ref="F46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5" authorId="2">
      <text/>
    </comment>
    <comment ref="C4646" authorId="2">
      <text>
        <r>
          <rPr>
            <sz val="11"/>
            <color theme="1"/>
            <rFont val="Calibri"/>
            <family val="2"/>
            <scheme val="minor"/>
          </rPr>
          <t>Introduzca la fecha prevista de adjudicación, en formato dd-mm-aaaa</t>
        </r>
      </text>
    </comment>
    <comment ref="F4646" authorId="2">
      <text/>
    </comment>
    <comment ref="F4647" authorId="2">
      <text/>
    </comment>
    <comment ref="A4649" authorId="2">
      <text>
        <r>
          <rPr>
            <sz val="11"/>
            <color theme="1"/>
            <rFont val="Calibri"/>
            <family val="2"/>
            <scheme val="minor"/>
          </rPr>
          <t>Introduzca un codigo UNSPSC</t>
        </r>
      </text>
    </comment>
    <comment ref="B4649" authorId="2">
      <text>
        <r>
          <rPr>
            <sz val="11"/>
            <color theme="1"/>
            <rFont val="Calibri"/>
            <family val="2"/>
            <scheme val="minor"/>
          </rPr>
          <t>Descripción calculada automáticamente a partir de código del artículo</t>
        </r>
      </text>
    </comment>
    <comment ref="C4649" authorId="2">
      <text>
        <r>
          <rPr>
            <sz val="11"/>
            <color theme="1"/>
            <rFont val="Calibri"/>
            <family val="2"/>
            <scheme val="minor"/>
          </rPr>
          <t>Seleccione un valor de la lista</t>
        </r>
      </text>
    </comment>
    <comment ref="D4649" authorId="2">
      <text>
        <r>
          <rPr>
            <sz val="11"/>
            <color theme="1"/>
            <rFont val="Calibri"/>
            <family val="2"/>
            <scheme val="minor"/>
          </rPr>
          <t>Introduzca un número con dos decimales como máximo. Debe ser igual o mayor a la "Cantidad Real Consumida"</t>
        </r>
      </text>
    </comment>
    <comment ref="E4649" authorId="2">
      <text>
        <r>
          <rPr>
            <sz val="11"/>
            <color theme="1"/>
            <rFont val="Calibri"/>
            <family val="2"/>
            <scheme val="minor"/>
          </rPr>
          <t>Introduzca un número con dos decimales como máximo</t>
        </r>
      </text>
    </comment>
    <comment ref="F4649" authorId="2">
      <text>
        <r>
          <rPr>
            <sz val="11"/>
            <color theme="1"/>
            <rFont val="Calibri"/>
            <family val="2"/>
            <scheme val="minor"/>
          </rPr>
          <t>Monto calculado automáticamente por el sistema</t>
        </r>
      </text>
    </comment>
    <comment ref="A4654" authorId="2">
      <text>
        <r>
          <rPr>
            <sz val="11"/>
            <color theme="1"/>
            <rFont val="Calibri"/>
            <family val="2"/>
            <scheme val="minor"/>
          </rPr>
          <t>Introducir un texto con el nombre o referencia de la contratación</t>
        </r>
      </text>
    </comment>
    <comment ref="B4654" authorId="2">
      <text>
        <r>
          <rPr>
            <sz val="11"/>
            <color theme="1"/>
            <rFont val="Calibri"/>
            <family val="2"/>
            <scheme val="minor"/>
          </rPr>
          <t>Introduzca un texto con la finalidad de la contratación</t>
        </r>
      </text>
    </comment>
    <comment ref="C4654" authorId="2">
      <text>
        <r>
          <rPr>
            <sz val="11"/>
            <color theme="1"/>
            <rFont val="Calibri"/>
            <family val="2"/>
            <scheme val="minor"/>
          </rPr>
          <t>Seleccionar un valor del listado</t>
        </r>
      </text>
    </comment>
    <comment ref="D4654" authorId="2">
      <text>
        <r>
          <rPr>
            <sz val="11"/>
            <color theme="1"/>
            <rFont val="Calibri"/>
            <family val="2"/>
            <scheme val="minor"/>
          </rPr>
          <t>Seleccione el tipo de procedimiento</t>
        </r>
      </text>
    </comment>
    <comment ref="E4654" authorId="2">
      <text>
        <r>
          <rPr>
            <sz val="11"/>
            <color theme="1"/>
            <rFont val="Calibri"/>
            <family val="2"/>
            <scheme val="minor"/>
          </rPr>
          <t>Seleccione un valor de la lista</t>
        </r>
      </text>
    </comment>
    <comment ref="F4654" authorId="2">
      <text>
        <r>
          <rPr>
            <sz val="11"/>
            <color theme="1"/>
            <rFont val="Calibri"/>
            <family val="2"/>
            <scheme val="minor"/>
          </rPr>
          <t>Introduzca el código SNIP</t>
        </r>
      </text>
    </comment>
    <comment ref="C4655" authorId="2">
      <text>
        <r>
          <rPr>
            <sz val="11"/>
            <color theme="1"/>
            <rFont val="Calibri"/>
            <family val="2"/>
            <scheme val="minor"/>
          </rPr>
          <t>Introduzca la fecha de inicio del proceso, en formato dd-mm-aaaa</t>
        </r>
      </text>
    </comment>
    <comment ref="F46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6" authorId="2">
      <text/>
    </comment>
    <comment ref="C4657" authorId="2">
      <text>
        <r>
          <rPr>
            <sz val="11"/>
            <color theme="1"/>
            <rFont val="Calibri"/>
            <family val="2"/>
            <scheme val="minor"/>
          </rPr>
          <t>Introduzca la fecha prevista de adjudicación, en formato dd-mm-aaaa</t>
        </r>
      </text>
    </comment>
    <comment ref="F4657" authorId="2">
      <text/>
    </comment>
    <comment ref="F4658" authorId="2">
      <text/>
    </comment>
    <comment ref="A4660" authorId="2">
      <text>
        <r>
          <rPr>
            <sz val="11"/>
            <color theme="1"/>
            <rFont val="Calibri"/>
            <family val="2"/>
            <scheme val="minor"/>
          </rPr>
          <t>Introduzca un codigo UNSPSC</t>
        </r>
      </text>
    </comment>
    <comment ref="B4660" authorId="2">
      <text>
        <r>
          <rPr>
            <sz val="11"/>
            <color theme="1"/>
            <rFont val="Calibri"/>
            <family val="2"/>
            <scheme val="minor"/>
          </rPr>
          <t>Descripción calculada automáticamente a partir de código del artículo</t>
        </r>
      </text>
    </comment>
    <comment ref="C4660" authorId="2">
      <text>
        <r>
          <rPr>
            <sz val="11"/>
            <color theme="1"/>
            <rFont val="Calibri"/>
            <family val="2"/>
            <scheme val="minor"/>
          </rPr>
          <t>Seleccione un valor de la lista</t>
        </r>
      </text>
    </comment>
    <comment ref="D4660" authorId="2">
      <text>
        <r>
          <rPr>
            <sz val="11"/>
            <color theme="1"/>
            <rFont val="Calibri"/>
            <family val="2"/>
            <scheme val="minor"/>
          </rPr>
          <t>Introduzca un número con dos decimales como máximo. Debe ser igual o mayor a la "Cantidad Real Consumida"</t>
        </r>
      </text>
    </comment>
    <comment ref="E4660" authorId="2">
      <text>
        <r>
          <rPr>
            <sz val="11"/>
            <color theme="1"/>
            <rFont val="Calibri"/>
            <family val="2"/>
            <scheme val="minor"/>
          </rPr>
          <t>Introduzca un número con dos decimales como máximo</t>
        </r>
      </text>
    </comment>
    <comment ref="F4660" authorId="2">
      <text>
        <r>
          <rPr>
            <sz val="11"/>
            <color theme="1"/>
            <rFont val="Calibri"/>
            <family val="2"/>
            <scheme val="minor"/>
          </rPr>
          <t>Monto calculado automáticamente por el sistema</t>
        </r>
      </text>
    </comment>
    <comment ref="A4665" authorId="2">
      <text>
        <r>
          <rPr>
            <sz val="11"/>
            <color theme="1"/>
            <rFont val="Calibri"/>
            <family val="2"/>
            <scheme val="minor"/>
          </rPr>
          <t>Introducir un texto con el nombre o referencia de la contratación</t>
        </r>
      </text>
    </comment>
    <comment ref="B4665" authorId="2">
      <text>
        <r>
          <rPr>
            <sz val="11"/>
            <color theme="1"/>
            <rFont val="Calibri"/>
            <family val="2"/>
            <scheme val="minor"/>
          </rPr>
          <t>Introduzca un texto con la finalidad de la contratación</t>
        </r>
      </text>
    </comment>
    <comment ref="C4665" authorId="2">
      <text>
        <r>
          <rPr>
            <sz val="11"/>
            <color theme="1"/>
            <rFont val="Calibri"/>
            <family val="2"/>
            <scheme val="minor"/>
          </rPr>
          <t>Seleccionar un valor del listado</t>
        </r>
      </text>
    </comment>
    <comment ref="D4665" authorId="2">
      <text>
        <r>
          <rPr>
            <sz val="11"/>
            <color theme="1"/>
            <rFont val="Calibri"/>
            <family val="2"/>
            <scheme val="minor"/>
          </rPr>
          <t>Seleccione el tipo de procedimiento</t>
        </r>
      </text>
    </comment>
    <comment ref="E4665" authorId="2">
      <text>
        <r>
          <rPr>
            <sz val="11"/>
            <color theme="1"/>
            <rFont val="Calibri"/>
            <family val="2"/>
            <scheme val="minor"/>
          </rPr>
          <t>Seleccione un valor de la lista</t>
        </r>
      </text>
    </comment>
    <comment ref="F4665" authorId="2">
      <text>
        <r>
          <rPr>
            <sz val="11"/>
            <color theme="1"/>
            <rFont val="Calibri"/>
            <family val="2"/>
            <scheme val="minor"/>
          </rPr>
          <t>Introduzca el código SNIP</t>
        </r>
      </text>
    </comment>
    <comment ref="C4666" authorId="2">
      <text>
        <r>
          <rPr>
            <sz val="11"/>
            <color theme="1"/>
            <rFont val="Calibri"/>
            <family val="2"/>
            <scheme val="minor"/>
          </rPr>
          <t>Introduzca la fecha de inicio del proceso, en formato dd-mm-aaaa</t>
        </r>
      </text>
    </comment>
    <comment ref="F46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7" authorId="2">
      <text/>
    </comment>
    <comment ref="C4668" authorId="2">
      <text>
        <r>
          <rPr>
            <sz val="11"/>
            <color theme="1"/>
            <rFont val="Calibri"/>
            <family val="2"/>
            <scheme val="minor"/>
          </rPr>
          <t>Introduzca la fecha prevista de adjudicación, en formato dd-mm-aaaa</t>
        </r>
      </text>
    </comment>
    <comment ref="F4668" authorId="2">
      <text/>
    </comment>
    <comment ref="F4669" authorId="2">
      <text/>
    </comment>
    <comment ref="A4671" authorId="2">
      <text>
        <r>
          <rPr>
            <sz val="11"/>
            <color theme="1"/>
            <rFont val="Calibri"/>
            <family val="2"/>
            <scheme val="minor"/>
          </rPr>
          <t>Introduzca un codigo UNSPSC</t>
        </r>
      </text>
    </comment>
    <comment ref="B4671" authorId="2">
      <text>
        <r>
          <rPr>
            <sz val="11"/>
            <color theme="1"/>
            <rFont val="Calibri"/>
            <family val="2"/>
            <scheme val="minor"/>
          </rPr>
          <t>Descripción calculada automáticamente a partir de código del artículo</t>
        </r>
      </text>
    </comment>
    <comment ref="C4671" authorId="2">
      <text>
        <r>
          <rPr>
            <sz val="11"/>
            <color theme="1"/>
            <rFont val="Calibri"/>
            <family val="2"/>
            <scheme val="minor"/>
          </rPr>
          <t>Seleccione un valor de la lista</t>
        </r>
      </text>
    </comment>
    <comment ref="D4671" authorId="2">
      <text>
        <r>
          <rPr>
            <sz val="11"/>
            <color theme="1"/>
            <rFont val="Calibri"/>
            <family val="2"/>
            <scheme val="minor"/>
          </rPr>
          <t>Introduzca un número con dos decimales como máximo. Debe ser igual o mayor a la "Cantidad Real Consumida"</t>
        </r>
      </text>
    </comment>
    <comment ref="E4671" authorId="2">
      <text>
        <r>
          <rPr>
            <sz val="11"/>
            <color theme="1"/>
            <rFont val="Calibri"/>
            <family val="2"/>
            <scheme val="minor"/>
          </rPr>
          <t>Introduzca un número con dos decimales como máximo</t>
        </r>
      </text>
    </comment>
    <comment ref="F4671" authorId="2">
      <text>
        <r>
          <rPr>
            <sz val="11"/>
            <color theme="1"/>
            <rFont val="Calibri"/>
            <family val="2"/>
            <scheme val="minor"/>
          </rPr>
          <t>Monto calculado automáticamente por el sistema</t>
        </r>
      </text>
    </comment>
    <comment ref="A4676" authorId="2">
      <text>
        <r>
          <rPr>
            <sz val="11"/>
            <color theme="1"/>
            <rFont val="Calibri"/>
            <family val="2"/>
            <scheme val="minor"/>
          </rPr>
          <t>Introducir un texto con el nombre o referencia de la contratación</t>
        </r>
      </text>
    </comment>
    <comment ref="B4676" authorId="2">
      <text>
        <r>
          <rPr>
            <sz val="11"/>
            <color theme="1"/>
            <rFont val="Calibri"/>
            <family val="2"/>
            <scheme val="minor"/>
          </rPr>
          <t>Introduzca un texto con la finalidad de la contratación</t>
        </r>
      </text>
    </comment>
    <comment ref="C4676" authorId="2">
      <text>
        <r>
          <rPr>
            <sz val="11"/>
            <color theme="1"/>
            <rFont val="Calibri"/>
            <family val="2"/>
            <scheme val="minor"/>
          </rPr>
          <t>Seleccionar un valor del listado</t>
        </r>
      </text>
    </comment>
    <comment ref="D4676" authorId="2">
      <text>
        <r>
          <rPr>
            <sz val="11"/>
            <color theme="1"/>
            <rFont val="Calibri"/>
            <family val="2"/>
            <scheme val="minor"/>
          </rPr>
          <t>Seleccione el tipo de procedimiento</t>
        </r>
      </text>
    </comment>
    <comment ref="E4676" authorId="2">
      <text>
        <r>
          <rPr>
            <sz val="11"/>
            <color theme="1"/>
            <rFont val="Calibri"/>
            <family val="2"/>
            <scheme val="minor"/>
          </rPr>
          <t>Seleccione un valor de la lista</t>
        </r>
      </text>
    </comment>
    <comment ref="F4676" authorId="2">
      <text>
        <r>
          <rPr>
            <sz val="11"/>
            <color theme="1"/>
            <rFont val="Calibri"/>
            <family val="2"/>
            <scheme val="minor"/>
          </rPr>
          <t>Introduzca el código SNIP</t>
        </r>
      </text>
    </comment>
    <comment ref="C4677" authorId="2">
      <text>
        <r>
          <rPr>
            <sz val="11"/>
            <color theme="1"/>
            <rFont val="Calibri"/>
            <family val="2"/>
            <scheme val="minor"/>
          </rPr>
          <t>Introduzca la fecha de inicio del proceso, en formato dd-mm-aaaa</t>
        </r>
      </text>
    </comment>
    <comment ref="F46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8" authorId="2">
      <text/>
    </comment>
    <comment ref="C4679" authorId="2">
      <text>
        <r>
          <rPr>
            <sz val="11"/>
            <color theme="1"/>
            <rFont val="Calibri"/>
            <family val="2"/>
            <scheme val="minor"/>
          </rPr>
          <t>Introduzca la fecha prevista de adjudicación, en formato dd-mm-aaaa</t>
        </r>
      </text>
    </comment>
    <comment ref="F4679" authorId="2">
      <text/>
    </comment>
    <comment ref="F4680" authorId="2">
      <text/>
    </comment>
    <comment ref="A4682" authorId="2">
      <text>
        <r>
          <rPr>
            <sz val="11"/>
            <color theme="1"/>
            <rFont val="Calibri"/>
            <family val="2"/>
            <scheme val="minor"/>
          </rPr>
          <t>Introduzca un codigo UNSPSC</t>
        </r>
      </text>
    </comment>
    <comment ref="B4682" authorId="2">
      <text>
        <r>
          <rPr>
            <sz val="11"/>
            <color theme="1"/>
            <rFont val="Calibri"/>
            <family val="2"/>
            <scheme val="minor"/>
          </rPr>
          <t>Descripción calculada automáticamente a partir de código del artículo</t>
        </r>
      </text>
    </comment>
    <comment ref="C4682" authorId="2">
      <text>
        <r>
          <rPr>
            <sz val="11"/>
            <color theme="1"/>
            <rFont val="Calibri"/>
            <family val="2"/>
            <scheme val="minor"/>
          </rPr>
          <t>Seleccione un valor de la lista</t>
        </r>
      </text>
    </comment>
    <comment ref="D4682" authorId="2">
      <text>
        <r>
          <rPr>
            <sz val="11"/>
            <color theme="1"/>
            <rFont val="Calibri"/>
            <family val="2"/>
            <scheme val="minor"/>
          </rPr>
          <t>Introduzca un número con dos decimales como máximo. Debe ser igual o mayor a la "Cantidad Real Consumida"</t>
        </r>
      </text>
    </comment>
    <comment ref="E4682" authorId="2">
      <text>
        <r>
          <rPr>
            <sz val="11"/>
            <color theme="1"/>
            <rFont val="Calibri"/>
            <family val="2"/>
            <scheme val="minor"/>
          </rPr>
          <t>Introduzca un número con dos decimales como máximo</t>
        </r>
      </text>
    </comment>
    <comment ref="F4682" authorId="2">
      <text>
        <r>
          <rPr>
            <sz val="11"/>
            <color theme="1"/>
            <rFont val="Calibri"/>
            <family val="2"/>
            <scheme val="minor"/>
          </rPr>
          <t>Monto calculado automáticamente por el sistema</t>
        </r>
      </text>
    </comment>
    <comment ref="A4689" authorId="2">
      <text>
        <r>
          <rPr>
            <sz val="11"/>
            <color theme="1"/>
            <rFont val="Calibri"/>
            <family val="2"/>
            <scheme val="minor"/>
          </rPr>
          <t>Introducir un texto con el nombre o referencia de la contratación</t>
        </r>
      </text>
    </comment>
    <comment ref="B4689" authorId="2">
      <text>
        <r>
          <rPr>
            <sz val="11"/>
            <color theme="1"/>
            <rFont val="Calibri"/>
            <family val="2"/>
            <scheme val="minor"/>
          </rPr>
          <t>Introduzca un texto con la finalidad de la contratación</t>
        </r>
      </text>
    </comment>
    <comment ref="C4689" authorId="2">
      <text>
        <r>
          <rPr>
            <sz val="11"/>
            <color theme="1"/>
            <rFont val="Calibri"/>
            <family val="2"/>
            <scheme val="minor"/>
          </rPr>
          <t>Seleccionar un valor del listado</t>
        </r>
      </text>
    </comment>
    <comment ref="D4689" authorId="2">
      <text>
        <r>
          <rPr>
            <sz val="11"/>
            <color theme="1"/>
            <rFont val="Calibri"/>
            <family val="2"/>
            <scheme val="minor"/>
          </rPr>
          <t>Seleccione el tipo de procedimiento</t>
        </r>
      </text>
    </comment>
    <comment ref="E4689" authorId="2">
      <text>
        <r>
          <rPr>
            <sz val="11"/>
            <color theme="1"/>
            <rFont val="Calibri"/>
            <family val="2"/>
            <scheme val="minor"/>
          </rPr>
          <t>Seleccione un valor de la lista</t>
        </r>
      </text>
    </comment>
    <comment ref="F4689" authorId="2">
      <text>
        <r>
          <rPr>
            <sz val="11"/>
            <color theme="1"/>
            <rFont val="Calibri"/>
            <family val="2"/>
            <scheme val="minor"/>
          </rPr>
          <t>Introduzca el código SNIP</t>
        </r>
      </text>
    </comment>
    <comment ref="C4690" authorId="2">
      <text>
        <r>
          <rPr>
            <sz val="11"/>
            <color theme="1"/>
            <rFont val="Calibri"/>
            <family val="2"/>
            <scheme val="minor"/>
          </rPr>
          <t>Introduzca la fecha de inicio del proceso, en formato dd-mm-aaaa</t>
        </r>
      </text>
    </comment>
    <comment ref="F46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1" authorId="2">
      <text/>
    </comment>
    <comment ref="C4692" authorId="2">
      <text>
        <r>
          <rPr>
            <sz val="11"/>
            <color theme="1"/>
            <rFont val="Calibri"/>
            <family val="2"/>
            <scheme val="minor"/>
          </rPr>
          <t>Introduzca la fecha prevista de adjudicación, en formato dd-mm-aaaa</t>
        </r>
      </text>
    </comment>
    <comment ref="F4692" authorId="2">
      <text/>
    </comment>
    <comment ref="F4693" authorId="2">
      <text/>
    </comment>
    <comment ref="A4695" authorId="2">
      <text>
        <r>
          <rPr>
            <sz val="11"/>
            <color theme="1"/>
            <rFont val="Calibri"/>
            <family val="2"/>
            <scheme val="minor"/>
          </rPr>
          <t>Introduzca un codigo UNSPSC</t>
        </r>
      </text>
    </comment>
    <comment ref="B4695" authorId="2">
      <text>
        <r>
          <rPr>
            <sz val="11"/>
            <color theme="1"/>
            <rFont val="Calibri"/>
            <family val="2"/>
            <scheme val="minor"/>
          </rPr>
          <t>Descripción calculada automáticamente a partir de código del artículo</t>
        </r>
      </text>
    </comment>
    <comment ref="C4695" authorId="2">
      <text>
        <r>
          <rPr>
            <sz val="11"/>
            <color theme="1"/>
            <rFont val="Calibri"/>
            <family val="2"/>
            <scheme val="minor"/>
          </rPr>
          <t>Seleccione un valor de la lista</t>
        </r>
      </text>
    </comment>
    <comment ref="D4695" authorId="2">
      <text>
        <r>
          <rPr>
            <sz val="11"/>
            <color theme="1"/>
            <rFont val="Calibri"/>
            <family val="2"/>
            <scheme val="minor"/>
          </rPr>
          <t>Introduzca un número con dos decimales como máximo. Debe ser igual o mayor a la "Cantidad Real Consumida"</t>
        </r>
      </text>
    </comment>
    <comment ref="E4695" authorId="2">
      <text>
        <r>
          <rPr>
            <sz val="11"/>
            <color theme="1"/>
            <rFont val="Calibri"/>
            <family val="2"/>
            <scheme val="minor"/>
          </rPr>
          <t>Introduzca un número con dos decimales como máximo</t>
        </r>
      </text>
    </comment>
    <comment ref="F4695" authorId="2">
      <text>
        <r>
          <rPr>
            <sz val="11"/>
            <color theme="1"/>
            <rFont val="Calibri"/>
            <family val="2"/>
            <scheme val="minor"/>
          </rPr>
          <t>Monto calculado automáticamente por el sistema</t>
        </r>
      </text>
    </comment>
    <comment ref="A4700" authorId="2">
      <text>
        <r>
          <rPr>
            <sz val="11"/>
            <color theme="1"/>
            <rFont val="Calibri"/>
            <family val="2"/>
            <scheme val="minor"/>
          </rPr>
          <t>Introducir un texto con el nombre o referencia de la contratación</t>
        </r>
      </text>
    </comment>
    <comment ref="B4700" authorId="2">
      <text>
        <r>
          <rPr>
            <sz val="11"/>
            <color theme="1"/>
            <rFont val="Calibri"/>
            <family val="2"/>
            <scheme val="minor"/>
          </rPr>
          <t>Introduzca un texto con la finalidad de la contratación</t>
        </r>
      </text>
    </comment>
    <comment ref="C4700" authorId="2">
      <text>
        <r>
          <rPr>
            <sz val="11"/>
            <color theme="1"/>
            <rFont val="Calibri"/>
            <family val="2"/>
            <scheme val="minor"/>
          </rPr>
          <t>Seleccionar un valor del listado</t>
        </r>
      </text>
    </comment>
    <comment ref="D4700" authorId="2">
      <text>
        <r>
          <rPr>
            <sz val="11"/>
            <color theme="1"/>
            <rFont val="Calibri"/>
            <family val="2"/>
            <scheme val="minor"/>
          </rPr>
          <t>Seleccione el tipo de procedimiento</t>
        </r>
      </text>
    </comment>
    <comment ref="E4700" authorId="2">
      <text>
        <r>
          <rPr>
            <sz val="11"/>
            <color theme="1"/>
            <rFont val="Calibri"/>
            <family val="2"/>
            <scheme val="minor"/>
          </rPr>
          <t>Seleccione un valor de la lista</t>
        </r>
      </text>
    </comment>
    <comment ref="F4700" authorId="2">
      <text>
        <r>
          <rPr>
            <sz val="11"/>
            <color theme="1"/>
            <rFont val="Calibri"/>
            <family val="2"/>
            <scheme val="minor"/>
          </rPr>
          <t>Introduzca el código SNIP</t>
        </r>
      </text>
    </comment>
    <comment ref="C4701" authorId="2">
      <text>
        <r>
          <rPr>
            <sz val="11"/>
            <color theme="1"/>
            <rFont val="Calibri"/>
            <family val="2"/>
            <scheme val="minor"/>
          </rPr>
          <t>Introduzca la fecha de inicio del proceso, en formato dd-mm-aaaa</t>
        </r>
      </text>
    </comment>
    <comment ref="F47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2" authorId="2">
      <text/>
    </comment>
    <comment ref="C4703" authorId="2">
      <text>
        <r>
          <rPr>
            <sz val="11"/>
            <color theme="1"/>
            <rFont val="Calibri"/>
            <family val="2"/>
            <scheme val="minor"/>
          </rPr>
          <t>Introduzca la fecha prevista de adjudicación, en formato dd-mm-aaaa</t>
        </r>
      </text>
    </comment>
    <comment ref="F4703" authorId="2">
      <text/>
    </comment>
    <comment ref="F4704" authorId="2">
      <text/>
    </comment>
    <comment ref="A4706" authorId="2">
      <text>
        <r>
          <rPr>
            <sz val="11"/>
            <color theme="1"/>
            <rFont val="Calibri"/>
            <family val="2"/>
            <scheme val="minor"/>
          </rPr>
          <t>Introduzca un codigo UNSPSC</t>
        </r>
      </text>
    </comment>
    <comment ref="B4706" authorId="2">
      <text>
        <r>
          <rPr>
            <sz val="11"/>
            <color theme="1"/>
            <rFont val="Calibri"/>
            <family val="2"/>
            <scheme val="minor"/>
          </rPr>
          <t>Descripción calculada automáticamente a partir de código del artículo</t>
        </r>
      </text>
    </comment>
    <comment ref="C4706" authorId="2">
      <text>
        <r>
          <rPr>
            <sz val="11"/>
            <color theme="1"/>
            <rFont val="Calibri"/>
            <family val="2"/>
            <scheme val="minor"/>
          </rPr>
          <t>Seleccione un valor de la lista</t>
        </r>
      </text>
    </comment>
    <comment ref="D4706" authorId="2">
      <text>
        <r>
          <rPr>
            <sz val="11"/>
            <color theme="1"/>
            <rFont val="Calibri"/>
            <family val="2"/>
            <scheme val="minor"/>
          </rPr>
          <t>Introduzca un número con dos decimales como máximo. Debe ser igual o mayor a la "Cantidad Real Consumida"</t>
        </r>
      </text>
    </comment>
    <comment ref="E4706" authorId="2">
      <text>
        <r>
          <rPr>
            <sz val="11"/>
            <color theme="1"/>
            <rFont val="Calibri"/>
            <family val="2"/>
            <scheme val="minor"/>
          </rPr>
          <t>Introduzca un número con dos decimales como máximo</t>
        </r>
      </text>
    </comment>
    <comment ref="F4706" authorId="2">
      <text>
        <r>
          <rPr>
            <sz val="11"/>
            <color theme="1"/>
            <rFont val="Calibri"/>
            <family val="2"/>
            <scheme val="minor"/>
          </rPr>
          <t>Monto calculado automáticamente por el sistema</t>
        </r>
      </text>
    </comment>
    <comment ref="A4711" authorId="2">
      <text>
        <r>
          <rPr>
            <sz val="11"/>
            <color theme="1"/>
            <rFont val="Calibri"/>
            <family val="2"/>
            <scheme val="minor"/>
          </rPr>
          <t>Introducir un texto con el nombre o referencia de la contratación</t>
        </r>
      </text>
    </comment>
    <comment ref="B4711" authorId="2">
      <text>
        <r>
          <rPr>
            <sz val="11"/>
            <color theme="1"/>
            <rFont val="Calibri"/>
            <family val="2"/>
            <scheme val="minor"/>
          </rPr>
          <t>Introduzca un texto con la finalidad de la contratación</t>
        </r>
      </text>
    </comment>
    <comment ref="C4711" authorId="2">
      <text>
        <r>
          <rPr>
            <sz val="11"/>
            <color theme="1"/>
            <rFont val="Calibri"/>
            <family val="2"/>
            <scheme val="minor"/>
          </rPr>
          <t>Seleccionar un valor del listado</t>
        </r>
      </text>
    </comment>
    <comment ref="D4711" authorId="2">
      <text>
        <r>
          <rPr>
            <sz val="11"/>
            <color theme="1"/>
            <rFont val="Calibri"/>
            <family val="2"/>
            <scheme val="minor"/>
          </rPr>
          <t>Seleccione el tipo de procedimiento</t>
        </r>
      </text>
    </comment>
    <comment ref="E4711" authorId="2">
      <text>
        <r>
          <rPr>
            <sz val="11"/>
            <color theme="1"/>
            <rFont val="Calibri"/>
            <family val="2"/>
            <scheme val="minor"/>
          </rPr>
          <t>Seleccione un valor de la lista</t>
        </r>
      </text>
    </comment>
    <comment ref="F4711" authorId="2">
      <text>
        <r>
          <rPr>
            <sz val="11"/>
            <color theme="1"/>
            <rFont val="Calibri"/>
            <family val="2"/>
            <scheme val="minor"/>
          </rPr>
          <t>Introduzca el código SNIP</t>
        </r>
      </text>
    </comment>
    <comment ref="C4712" authorId="2">
      <text>
        <r>
          <rPr>
            <sz val="11"/>
            <color theme="1"/>
            <rFont val="Calibri"/>
            <family val="2"/>
            <scheme val="minor"/>
          </rPr>
          <t>Introduzca la fecha de inicio del proceso, en formato dd-mm-aaaa</t>
        </r>
      </text>
    </comment>
    <comment ref="F47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3" authorId="2">
      <text/>
    </comment>
    <comment ref="C4714" authorId="2">
      <text>
        <r>
          <rPr>
            <sz val="11"/>
            <color theme="1"/>
            <rFont val="Calibri"/>
            <family val="2"/>
            <scheme val="minor"/>
          </rPr>
          <t>Introduzca la fecha prevista de adjudicación, en formato dd-mm-aaaa</t>
        </r>
      </text>
    </comment>
    <comment ref="F4714" authorId="2">
      <text/>
    </comment>
    <comment ref="F4715" authorId="2">
      <text/>
    </comment>
    <comment ref="A4717" authorId="2">
      <text>
        <r>
          <rPr>
            <sz val="11"/>
            <color theme="1"/>
            <rFont val="Calibri"/>
            <family val="2"/>
            <scheme val="minor"/>
          </rPr>
          <t>Introduzca un codigo UNSPSC</t>
        </r>
      </text>
    </comment>
    <comment ref="B4717" authorId="2">
      <text>
        <r>
          <rPr>
            <sz val="11"/>
            <color theme="1"/>
            <rFont val="Calibri"/>
            <family val="2"/>
            <scheme val="minor"/>
          </rPr>
          <t>Descripción calculada automáticamente a partir de código del artículo</t>
        </r>
      </text>
    </comment>
    <comment ref="C4717" authorId="2">
      <text>
        <r>
          <rPr>
            <sz val="11"/>
            <color theme="1"/>
            <rFont val="Calibri"/>
            <family val="2"/>
            <scheme val="minor"/>
          </rPr>
          <t>Seleccione un valor de la lista</t>
        </r>
      </text>
    </comment>
    <comment ref="D4717" authorId="2">
      <text>
        <r>
          <rPr>
            <sz val="11"/>
            <color theme="1"/>
            <rFont val="Calibri"/>
            <family val="2"/>
            <scheme val="minor"/>
          </rPr>
          <t>Introduzca un número con dos decimales como máximo. Debe ser igual o mayor a la "Cantidad Real Consumida"</t>
        </r>
      </text>
    </comment>
    <comment ref="E4717" authorId="2">
      <text>
        <r>
          <rPr>
            <sz val="11"/>
            <color theme="1"/>
            <rFont val="Calibri"/>
            <family val="2"/>
            <scheme val="minor"/>
          </rPr>
          <t>Introduzca un número con dos decimales como máximo</t>
        </r>
      </text>
    </comment>
    <comment ref="F4717" authorId="2">
      <text>
        <r>
          <rPr>
            <sz val="11"/>
            <color theme="1"/>
            <rFont val="Calibri"/>
            <family val="2"/>
            <scheme val="minor"/>
          </rPr>
          <t>Monto calculado automáticamente por el sistema</t>
        </r>
      </text>
    </comment>
    <comment ref="A4722" authorId="2">
      <text>
        <r>
          <rPr>
            <sz val="11"/>
            <color theme="1"/>
            <rFont val="Calibri"/>
            <family val="2"/>
            <scheme val="minor"/>
          </rPr>
          <t>Introducir un texto con el nombre o referencia de la contratación</t>
        </r>
      </text>
    </comment>
    <comment ref="B4722" authorId="2">
      <text>
        <r>
          <rPr>
            <sz val="11"/>
            <color theme="1"/>
            <rFont val="Calibri"/>
            <family val="2"/>
            <scheme val="minor"/>
          </rPr>
          <t>Introduzca un texto con la finalidad de la contratación</t>
        </r>
      </text>
    </comment>
    <comment ref="C4722" authorId="2">
      <text>
        <r>
          <rPr>
            <sz val="11"/>
            <color theme="1"/>
            <rFont val="Calibri"/>
            <family val="2"/>
            <scheme val="minor"/>
          </rPr>
          <t>Seleccionar un valor del listado</t>
        </r>
      </text>
    </comment>
    <comment ref="D4722" authorId="2">
      <text>
        <r>
          <rPr>
            <sz val="11"/>
            <color theme="1"/>
            <rFont val="Calibri"/>
            <family val="2"/>
            <scheme val="minor"/>
          </rPr>
          <t>Seleccione el tipo de procedimiento</t>
        </r>
      </text>
    </comment>
    <comment ref="E4722" authorId="2">
      <text>
        <r>
          <rPr>
            <sz val="11"/>
            <color theme="1"/>
            <rFont val="Calibri"/>
            <family val="2"/>
            <scheme val="minor"/>
          </rPr>
          <t>Seleccione un valor de la lista</t>
        </r>
      </text>
    </comment>
    <comment ref="F4722" authorId="2">
      <text>
        <r>
          <rPr>
            <sz val="11"/>
            <color theme="1"/>
            <rFont val="Calibri"/>
            <family val="2"/>
            <scheme val="minor"/>
          </rPr>
          <t>Introduzca el código SNIP</t>
        </r>
      </text>
    </comment>
    <comment ref="C4723" authorId="2">
      <text>
        <r>
          <rPr>
            <sz val="11"/>
            <color theme="1"/>
            <rFont val="Calibri"/>
            <family val="2"/>
            <scheme val="minor"/>
          </rPr>
          <t>Introduzca la fecha de inicio del proceso, en formato dd-mm-aaaa</t>
        </r>
      </text>
    </comment>
    <comment ref="F472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4" authorId="2">
      <text/>
    </comment>
    <comment ref="C4725" authorId="2">
      <text>
        <r>
          <rPr>
            <sz val="11"/>
            <color theme="1"/>
            <rFont val="Calibri"/>
            <family val="2"/>
            <scheme val="minor"/>
          </rPr>
          <t>Introduzca la fecha prevista de adjudicación, en formato dd-mm-aaaa</t>
        </r>
      </text>
    </comment>
    <comment ref="F4725" authorId="2">
      <text/>
    </comment>
    <comment ref="F4726" authorId="2">
      <text/>
    </comment>
    <comment ref="A4728" authorId="2">
      <text>
        <r>
          <rPr>
            <sz val="11"/>
            <color theme="1"/>
            <rFont val="Calibri"/>
            <family val="2"/>
            <scheme val="minor"/>
          </rPr>
          <t>Introduzca un codigo UNSPSC</t>
        </r>
      </text>
    </comment>
    <comment ref="B4728" authorId="2">
      <text>
        <r>
          <rPr>
            <sz val="11"/>
            <color theme="1"/>
            <rFont val="Calibri"/>
            <family val="2"/>
            <scheme val="minor"/>
          </rPr>
          <t>Descripción calculada automáticamente a partir de código del artículo</t>
        </r>
      </text>
    </comment>
    <comment ref="C4728" authorId="2">
      <text>
        <r>
          <rPr>
            <sz val="11"/>
            <color theme="1"/>
            <rFont val="Calibri"/>
            <family val="2"/>
            <scheme val="minor"/>
          </rPr>
          <t>Seleccione un valor de la lista</t>
        </r>
      </text>
    </comment>
    <comment ref="D4728" authorId="2">
      <text>
        <r>
          <rPr>
            <sz val="11"/>
            <color theme="1"/>
            <rFont val="Calibri"/>
            <family val="2"/>
            <scheme val="minor"/>
          </rPr>
          <t>Introduzca un número con dos decimales como máximo. Debe ser igual o mayor a la "Cantidad Real Consumida"</t>
        </r>
      </text>
    </comment>
    <comment ref="E4728" authorId="2">
      <text>
        <r>
          <rPr>
            <sz val="11"/>
            <color theme="1"/>
            <rFont val="Calibri"/>
            <family val="2"/>
            <scheme val="minor"/>
          </rPr>
          <t>Introduzca un número con dos decimales como máximo</t>
        </r>
      </text>
    </comment>
    <comment ref="F4728" authorId="2">
      <text>
        <r>
          <rPr>
            <sz val="11"/>
            <color theme="1"/>
            <rFont val="Calibri"/>
            <family val="2"/>
            <scheme val="minor"/>
          </rPr>
          <t>Monto calculado automáticamente por el sistema</t>
        </r>
      </text>
    </comment>
    <comment ref="A4736" authorId="2">
      <text>
        <r>
          <rPr>
            <sz val="11"/>
            <color theme="1"/>
            <rFont val="Calibri"/>
            <family val="2"/>
            <scheme val="minor"/>
          </rPr>
          <t>Introducir un texto con el nombre o referencia de la contratación</t>
        </r>
      </text>
    </comment>
    <comment ref="B4736" authorId="2">
      <text>
        <r>
          <rPr>
            <sz val="11"/>
            <color theme="1"/>
            <rFont val="Calibri"/>
            <family val="2"/>
            <scheme val="minor"/>
          </rPr>
          <t>Introduzca un texto con la finalidad de la contratación</t>
        </r>
      </text>
    </comment>
    <comment ref="C4736" authorId="2">
      <text>
        <r>
          <rPr>
            <sz val="11"/>
            <color theme="1"/>
            <rFont val="Calibri"/>
            <family val="2"/>
            <scheme val="minor"/>
          </rPr>
          <t>Seleccionar un valor del listado</t>
        </r>
      </text>
    </comment>
    <comment ref="D4736" authorId="2">
      <text>
        <r>
          <rPr>
            <sz val="11"/>
            <color theme="1"/>
            <rFont val="Calibri"/>
            <family val="2"/>
            <scheme val="minor"/>
          </rPr>
          <t>Seleccione el tipo de procedimiento</t>
        </r>
      </text>
    </comment>
    <comment ref="E4736" authorId="2">
      <text>
        <r>
          <rPr>
            <sz val="11"/>
            <color theme="1"/>
            <rFont val="Calibri"/>
            <family val="2"/>
            <scheme val="minor"/>
          </rPr>
          <t>Seleccione un valor de la lista</t>
        </r>
      </text>
    </comment>
    <comment ref="F4736" authorId="2">
      <text>
        <r>
          <rPr>
            <sz val="11"/>
            <color theme="1"/>
            <rFont val="Calibri"/>
            <family val="2"/>
            <scheme val="minor"/>
          </rPr>
          <t>Introduzca el código SNIP</t>
        </r>
      </text>
    </comment>
    <comment ref="C4737" authorId="2">
      <text>
        <r>
          <rPr>
            <sz val="11"/>
            <color theme="1"/>
            <rFont val="Calibri"/>
            <family val="2"/>
            <scheme val="minor"/>
          </rPr>
          <t>Introduzca la fecha de inicio del proceso, en formato dd-mm-aaaa</t>
        </r>
      </text>
    </comment>
    <comment ref="F47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8" authorId="2">
      <text/>
    </comment>
    <comment ref="C4739" authorId="2">
      <text>
        <r>
          <rPr>
            <sz val="11"/>
            <color theme="1"/>
            <rFont val="Calibri"/>
            <family val="2"/>
            <scheme val="minor"/>
          </rPr>
          <t>Introduzca la fecha prevista de adjudicación, en formato dd-mm-aaaa</t>
        </r>
      </text>
    </comment>
    <comment ref="F4739" authorId="2">
      <text/>
    </comment>
    <comment ref="F4740" authorId="2">
      <text/>
    </comment>
    <comment ref="A4742" authorId="2">
      <text>
        <r>
          <rPr>
            <sz val="11"/>
            <color theme="1"/>
            <rFont val="Calibri"/>
            <family val="2"/>
            <scheme val="minor"/>
          </rPr>
          <t>Introduzca un codigo UNSPSC</t>
        </r>
      </text>
    </comment>
    <comment ref="B4742" authorId="2">
      <text>
        <r>
          <rPr>
            <sz val="11"/>
            <color theme="1"/>
            <rFont val="Calibri"/>
            <family val="2"/>
            <scheme val="minor"/>
          </rPr>
          <t>Descripción calculada automáticamente a partir de código del artículo</t>
        </r>
      </text>
    </comment>
    <comment ref="C4742" authorId="2">
      <text>
        <r>
          <rPr>
            <sz val="11"/>
            <color theme="1"/>
            <rFont val="Calibri"/>
            <family val="2"/>
            <scheme val="minor"/>
          </rPr>
          <t>Seleccione un valor de la lista</t>
        </r>
      </text>
    </comment>
    <comment ref="D4742" authorId="2">
      <text>
        <r>
          <rPr>
            <sz val="11"/>
            <color theme="1"/>
            <rFont val="Calibri"/>
            <family val="2"/>
            <scheme val="minor"/>
          </rPr>
          <t>Introduzca un número con dos decimales como máximo. Debe ser igual o mayor a la "Cantidad Real Consumida"</t>
        </r>
      </text>
    </comment>
    <comment ref="E4742" authorId="2">
      <text>
        <r>
          <rPr>
            <sz val="11"/>
            <color theme="1"/>
            <rFont val="Calibri"/>
            <family val="2"/>
            <scheme val="minor"/>
          </rPr>
          <t>Introduzca un número con dos decimales como máximo</t>
        </r>
      </text>
    </comment>
    <comment ref="F4742" authorId="2">
      <text>
        <r>
          <rPr>
            <sz val="11"/>
            <color theme="1"/>
            <rFont val="Calibri"/>
            <family val="2"/>
            <scheme val="minor"/>
          </rPr>
          <t>Monto calculado automáticamente por el sistema</t>
        </r>
      </text>
    </comment>
    <comment ref="A4747" authorId="2">
      <text>
        <r>
          <rPr>
            <sz val="11"/>
            <color theme="1"/>
            <rFont val="Calibri"/>
            <family val="2"/>
            <scheme val="minor"/>
          </rPr>
          <t>Introducir un texto con el nombre o referencia de la contratación</t>
        </r>
      </text>
    </comment>
    <comment ref="B4747" authorId="2">
      <text>
        <r>
          <rPr>
            <sz val="11"/>
            <color theme="1"/>
            <rFont val="Calibri"/>
            <family val="2"/>
            <scheme val="minor"/>
          </rPr>
          <t>Introduzca un texto con la finalidad de la contratación</t>
        </r>
      </text>
    </comment>
    <comment ref="C4747" authorId="2">
      <text>
        <r>
          <rPr>
            <sz val="11"/>
            <color theme="1"/>
            <rFont val="Calibri"/>
            <family val="2"/>
            <scheme val="minor"/>
          </rPr>
          <t>Seleccionar un valor del listado</t>
        </r>
      </text>
    </comment>
    <comment ref="D4747" authorId="2">
      <text>
        <r>
          <rPr>
            <sz val="11"/>
            <color theme="1"/>
            <rFont val="Calibri"/>
            <family val="2"/>
            <scheme val="minor"/>
          </rPr>
          <t>Seleccione el tipo de procedimiento</t>
        </r>
      </text>
    </comment>
    <comment ref="E4747" authorId="2">
      <text>
        <r>
          <rPr>
            <sz val="11"/>
            <color theme="1"/>
            <rFont val="Calibri"/>
            <family val="2"/>
            <scheme val="minor"/>
          </rPr>
          <t>Seleccione un valor de la lista</t>
        </r>
      </text>
    </comment>
    <comment ref="F4747" authorId="2">
      <text>
        <r>
          <rPr>
            <sz val="11"/>
            <color theme="1"/>
            <rFont val="Calibri"/>
            <family val="2"/>
            <scheme val="minor"/>
          </rPr>
          <t>Introduzca el código SNIP</t>
        </r>
      </text>
    </comment>
    <comment ref="C4748" authorId="2">
      <text>
        <r>
          <rPr>
            <sz val="11"/>
            <color theme="1"/>
            <rFont val="Calibri"/>
            <family val="2"/>
            <scheme val="minor"/>
          </rPr>
          <t>Introduzca la fecha de inicio del proceso, en formato dd-mm-aaaa</t>
        </r>
      </text>
    </comment>
    <comment ref="F47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9" authorId="2">
      <text/>
    </comment>
    <comment ref="C4750" authorId="2">
      <text>
        <r>
          <rPr>
            <sz val="11"/>
            <color theme="1"/>
            <rFont val="Calibri"/>
            <family val="2"/>
            <scheme val="minor"/>
          </rPr>
          <t>Introduzca la fecha prevista de adjudicación, en formato dd-mm-aaaa</t>
        </r>
      </text>
    </comment>
    <comment ref="F4750" authorId="2">
      <text/>
    </comment>
    <comment ref="F4751" authorId="2">
      <text/>
    </comment>
    <comment ref="A4753" authorId="2">
      <text>
        <r>
          <rPr>
            <sz val="11"/>
            <color theme="1"/>
            <rFont val="Calibri"/>
            <family val="2"/>
            <scheme val="minor"/>
          </rPr>
          <t>Introduzca un codigo UNSPSC</t>
        </r>
      </text>
    </comment>
    <comment ref="B4753" authorId="2">
      <text>
        <r>
          <rPr>
            <sz val="11"/>
            <color theme="1"/>
            <rFont val="Calibri"/>
            <family val="2"/>
            <scheme val="minor"/>
          </rPr>
          <t>Descripción calculada automáticamente a partir de código del artículo</t>
        </r>
      </text>
    </comment>
    <comment ref="C4753" authorId="2">
      <text>
        <r>
          <rPr>
            <sz val="11"/>
            <color theme="1"/>
            <rFont val="Calibri"/>
            <family val="2"/>
            <scheme val="minor"/>
          </rPr>
          <t>Seleccione un valor de la lista</t>
        </r>
      </text>
    </comment>
    <comment ref="D4753" authorId="2">
      <text>
        <r>
          <rPr>
            <sz val="11"/>
            <color theme="1"/>
            <rFont val="Calibri"/>
            <family val="2"/>
            <scheme val="minor"/>
          </rPr>
          <t>Introduzca un número con dos decimales como máximo. Debe ser igual o mayor a la "Cantidad Real Consumida"</t>
        </r>
      </text>
    </comment>
    <comment ref="E4753" authorId="2">
      <text>
        <r>
          <rPr>
            <sz val="11"/>
            <color theme="1"/>
            <rFont val="Calibri"/>
            <family val="2"/>
            <scheme val="minor"/>
          </rPr>
          <t>Introduzca un número con dos decimales como máximo</t>
        </r>
      </text>
    </comment>
    <comment ref="F4753" authorId="2">
      <text>
        <r>
          <rPr>
            <sz val="11"/>
            <color theme="1"/>
            <rFont val="Calibri"/>
            <family val="2"/>
            <scheme val="minor"/>
          </rPr>
          <t>Monto calculado automáticamente por el sistema</t>
        </r>
      </text>
    </comment>
    <comment ref="A4758" authorId="2">
      <text>
        <r>
          <rPr>
            <sz val="11"/>
            <color theme="1"/>
            <rFont val="Calibri"/>
            <family val="2"/>
            <scheme val="minor"/>
          </rPr>
          <t>Introducir un texto con el nombre o referencia de la contratación</t>
        </r>
      </text>
    </comment>
    <comment ref="B4758" authorId="2">
      <text>
        <r>
          <rPr>
            <sz val="11"/>
            <color theme="1"/>
            <rFont val="Calibri"/>
            <family val="2"/>
            <scheme val="minor"/>
          </rPr>
          <t>Introduzca un texto con la finalidad de la contratación</t>
        </r>
      </text>
    </comment>
    <comment ref="C4758" authorId="2">
      <text>
        <r>
          <rPr>
            <sz val="11"/>
            <color theme="1"/>
            <rFont val="Calibri"/>
            <family val="2"/>
            <scheme val="minor"/>
          </rPr>
          <t>Seleccionar un valor del listado</t>
        </r>
      </text>
    </comment>
    <comment ref="D4758" authorId="2">
      <text>
        <r>
          <rPr>
            <sz val="11"/>
            <color theme="1"/>
            <rFont val="Calibri"/>
            <family val="2"/>
            <scheme val="minor"/>
          </rPr>
          <t>Seleccione el tipo de procedimiento</t>
        </r>
      </text>
    </comment>
    <comment ref="E4758" authorId="2">
      <text>
        <r>
          <rPr>
            <sz val="11"/>
            <color theme="1"/>
            <rFont val="Calibri"/>
            <family val="2"/>
            <scheme val="minor"/>
          </rPr>
          <t>Seleccione un valor de la lista</t>
        </r>
      </text>
    </comment>
    <comment ref="F4758" authorId="2">
      <text>
        <r>
          <rPr>
            <sz val="11"/>
            <color theme="1"/>
            <rFont val="Calibri"/>
            <family val="2"/>
            <scheme val="minor"/>
          </rPr>
          <t>Introduzca el código SNIP</t>
        </r>
      </text>
    </comment>
    <comment ref="C4759" authorId="2">
      <text>
        <r>
          <rPr>
            <sz val="11"/>
            <color theme="1"/>
            <rFont val="Calibri"/>
            <family val="2"/>
            <scheme val="minor"/>
          </rPr>
          <t>Introduzca la fecha de inicio del proceso, en formato dd-mm-aaaa</t>
        </r>
      </text>
    </comment>
    <comment ref="F47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0" authorId="2">
      <text/>
    </comment>
    <comment ref="C4761" authorId="2">
      <text>
        <r>
          <rPr>
            <sz val="11"/>
            <color theme="1"/>
            <rFont val="Calibri"/>
            <family val="2"/>
            <scheme val="minor"/>
          </rPr>
          <t>Introduzca la fecha prevista de adjudicación, en formato dd-mm-aaaa</t>
        </r>
      </text>
    </comment>
    <comment ref="F4761" authorId="2">
      <text/>
    </comment>
    <comment ref="F4762" authorId="2">
      <text/>
    </comment>
    <comment ref="A4764" authorId="2">
      <text>
        <r>
          <rPr>
            <sz val="11"/>
            <color theme="1"/>
            <rFont val="Calibri"/>
            <family val="2"/>
            <scheme val="minor"/>
          </rPr>
          <t>Introduzca un codigo UNSPSC</t>
        </r>
      </text>
    </comment>
    <comment ref="B4764" authorId="2">
      <text>
        <r>
          <rPr>
            <sz val="11"/>
            <color theme="1"/>
            <rFont val="Calibri"/>
            <family val="2"/>
            <scheme val="minor"/>
          </rPr>
          <t>Descripción calculada automáticamente a partir de código del artículo</t>
        </r>
      </text>
    </comment>
    <comment ref="C4764" authorId="2">
      <text>
        <r>
          <rPr>
            <sz val="11"/>
            <color theme="1"/>
            <rFont val="Calibri"/>
            <family val="2"/>
            <scheme val="minor"/>
          </rPr>
          <t>Seleccione un valor de la lista</t>
        </r>
      </text>
    </comment>
    <comment ref="D4764" authorId="2">
      <text>
        <r>
          <rPr>
            <sz val="11"/>
            <color theme="1"/>
            <rFont val="Calibri"/>
            <family val="2"/>
            <scheme val="minor"/>
          </rPr>
          <t>Introduzca un número con dos decimales como máximo. Debe ser igual o mayor a la "Cantidad Real Consumida"</t>
        </r>
      </text>
    </comment>
    <comment ref="E4764" authorId="2">
      <text>
        <r>
          <rPr>
            <sz val="11"/>
            <color theme="1"/>
            <rFont val="Calibri"/>
            <family val="2"/>
            <scheme val="minor"/>
          </rPr>
          <t>Introduzca un número con dos decimales como máximo</t>
        </r>
      </text>
    </comment>
    <comment ref="F4764" authorId="2">
      <text>
        <r>
          <rPr>
            <sz val="11"/>
            <color theme="1"/>
            <rFont val="Calibri"/>
            <family val="2"/>
            <scheme val="minor"/>
          </rPr>
          <t>Monto calculado automáticamente por el sistema</t>
        </r>
      </text>
    </comment>
    <comment ref="A4769" authorId="2">
      <text>
        <r>
          <rPr>
            <sz val="11"/>
            <color theme="1"/>
            <rFont val="Calibri"/>
            <family val="2"/>
            <scheme val="minor"/>
          </rPr>
          <t>Introducir un texto con el nombre o referencia de la contratación</t>
        </r>
      </text>
    </comment>
    <comment ref="B4769" authorId="2">
      <text>
        <r>
          <rPr>
            <sz val="11"/>
            <color theme="1"/>
            <rFont val="Calibri"/>
            <family val="2"/>
            <scheme val="minor"/>
          </rPr>
          <t>Introduzca un texto con la finalidad de la contratación</t>
        </r>
      </text>
    </comment>
    <comment ref="C4769" authorId="2">
      <text>
        <r>
          <rPr>
            <sz val="11"/>
            <color theme="1"/>
            <rFont val="Calibri"/>
            <family val="2"/>
            <scheme val="minor"/>
          </rPr>
          <t>Seleccionar un valor del listado</t>
        </r>
      </text>
    </comment>
    <comment ref="D4769" authorId="2">
      <text>
        <r>
          <rPr>
            <sz val="11"/>
            <color theme="1"/>
            <rFont val="Calibri"/>
            <family val="2"/>
            <scheme val="minor"/>
          </rPr>
          <t>Seleccione el tipo de procedimiento</t>
        </r>
      </text>
    </comment>
    <comment ref="E4769" authorId="2">
      <text>
        <r>
          <rPr>
            <sz val="11"/>
            <color theme="1"/>
            <rFont val="Calibri"/>
            <family val="2"/>
            <scheme val="minor"/>
          </rPr>
          <t>Seleccione un valor de la lista</t>
        </r>
      </text>
    </comment>
    <comment ref="F4769" authorId="2">
      <text>
        <r>
          <rPr>
            <sz val="11"/>
            <color theme="1"/>
            <rFont val="Calibri"/>
            <family val="2"/>
            <scheme val="minor"/>
          </rPr>
          <t>Introduzca el código SNIP</t>
        </r>
      </text>
    </comment>
    <comment ref="C4770" authorId="2">
      <text>
        <r>
          <rPr>
            <sz val="11"/>
            <color theme="1"/>
            <rFont val="Calibri"/>
            <family val="2"/>
            <scheme val="minor"/>
          </rPr>
          <t>Introduzca la fecha de inicio del proceso, en formato dd-mm-aaaa</t>
        </r>
      </text>
    </comment>
    <comment ref="F47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1" authorId="2">
      <text/>
    </comment>
    <comment ref="C4772" authorId="2">
      <text>
        <r>
          <rPr>
            <sz val="11"/>
            <color theme="1"/>
            <rFont val="Calibri"/>
            <family val="2"/>
            <scheme val="minor"/>
          </rPr>
          <t>Introduzca la fecha prevista de adjudicación, en formato dd-mm-aaaa</t>
        </r>
      </text>
    </comment>
    <comment ref="F4772" authorId="2">
      <text/>
    </comment>
    <comment ref="F4773" authorId="2">
      <text/>
    </comment>
    <comment ref="A4775" authorId="2">
      <text>
        <r>
          <rPr>
            <sz val="11"/>
            <color theme="1"/>
            <rFont val="Calibri"/>
            <family val="2"/>
            <scheme val="minor"/>
          </rPr>
          <t>Introduzca un codigo UNSPSC</t>
        </r>
      </text>
    </comment>
    <comment ref="B4775" authorId="2">
      <text>
        <r>
          <rPr>
            <sz val="11"/>
            <color theme="1"/>
            <rFont val="Calibri"/>
            <family val="2"/>
            <scheme val="minor"/>
          </rPr>
          <t>Descripción calculada automáticamente a partir de código del artículo</t>
        </r>
      </text>
    </comment>
    <comment ref="C4775" authorId="2">
      <text>
        <r>
          <rPr>
            <sz val="11"/>
            <color theme="1"/>
            <rFont val="Calibri"/>
            <family val="2"/>
            <scheme val="minor"/>
          </rPr>
          <t>Seleccione un valor de la lista</t>
        </r>
      </text>
    </comment>
    <comment ref="D4775" authorId="2">
      <text>
        <r>
          <rPr>
            <sz val="11"/>
            <color theme="1"/>
            <rFont val="Calibri"/>
            <family val="2"/>
            <scheme val="minor"/>
          </rPr>
          <t>Introduzca un número con dos decimales como máximo. Debe ser igual o mayor a la "Cantidad Real Consumida"</t>
        </r>
      </text>
    </comment>
    <comment ref="E4775" authorId="2">
      <text>
        <r>
          <rPr>
            <sz val="11"/>
            <color theme="1"/>
            <rFont val="Calibri"/>
            <family val="2"/>
            <scheme val="minor"/>
          </rPr>
          <t>Introduzca un número con dos decimales como máximo</t>
        </r>
      </text>
    </comment>
    <comment ref="F4775" authorId="2">
      <text>
        <r>
          <rPr>
            <sz val="11"/>
            <color theme="1"/>
            <rFont val="Calibri"/>
            <family val="2"/>
            <scheme val="minor"/>
          </rPr>
          <t>Monto calculado automáticamente por el sistema</t>
        </r>
      </text>
    </comment>
    <comment ref="A4790" authorId="2">
      <text>
        <r>
          <rPr>
            <sz val="11"/>
            <color theme="1"/>
            <rFont val="Calibri"/>
            <family val="2"/>
            <scheme val="minor"/>
          </rPr>
          <t>Introducir un texto con el nombre o referencia de la contratación</t>
        </r>
      </text>
    </comment>
    <comment ref="B4790" authorId="2">
      <text>
        <r>
          <rPr>
            <sz val="11"/>
            <color theme="1"/>
            <rFont val="Calibri"/>
            <family val="2"/>
            <scheme val="minor"/>
          </rPr>
          <t>Introduzca un texto con la finalidad de la contratación</t>
        </r>
      </text>
    </comment>
    <comment ref="C4790" authorId="2">
      <text>
        <r>
          <rPr>
            <sz val="11"/>
            <color theme="1"/>
            <rFont val="Calibri"/>
            <family val="2"/>
            <scheme val="minor"/>
          </rPr>
          <t>Seleccionar un valor del listado</t>
        </r>
      </text>
    </comment>
    <comment ref="D4790" authorId="2">
      <text>
        <r>
          <rPr>
            <sz val="11"/>
            <color theme="1"/>
            <rFont val="Calibri"/>
            <family val="2"/>
            <scheme val="minor"/>
          </rPr>
          <t>Seleccione el tipo de procedimiento</t>
        </r>
      </text>
    </comment>
    <comment ref="E4790" authorId="2">
      <text>
        <r>
          <rPr>
            <sz val="11"/>
            <color theme="1"/>
            <rFont val="Calibri"/>
            <family val="2"/>
            <scheme val="minor"/>
          </rPr>
          <t>Seleccione un valor de la lista</t>
        </r>
      </text>
    </comment>
    <comment ref="F4790" authorId="2">
      <text>
        <r>
          <rPr>
            <sz val="11"/>
            <color theme="1"/>
            <rFont val="Calibri"/>
            <family val="2"/>
            <scheme val="minor"/>
          </rPr>
          <t>Introduzca el código SNIP</t>
        </r>
      </text>
    </comment>
    <comment ref="C4791" authorId="2">
      <text>
        <r>
          <rPr>
            <sz val="11"/>
            <color theme="1"/>
            <rFont val="Calibri"/>
            <family val="2"/>
            <scheme val="minor"/>
          </rPr>
          <t>Introduzca la fecha de inicio del proceso, en formato dd-mm-aaaa</t>
        </r>
      </text>
    </comment>
    <comment ref="F479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2" authorId="2">
      <text/>
    </comment>
    <comment ref="C4793" authorId="2">
      <text>
        <r>
          <rPr>
            <sz val="11"/>
            <color theme="1"/>
            <rFont val="Calibri"/>
            <family val="2"/>
            <scheme val="minor"/>
          </rPr>
          <t>Introduzca la fecha prevista de adjudicación, en formato dd-mm-aaaa</t>
        </r>
      </text>
    </comment>
    <comment ref="F4793" authorId="2">
      <text/>
    </comment>
    <comment ref="F4794" authorId="2">
      <text/>
    </comment>
    <comment ref="A4796" authorId="2">
      <text>
        <r>
          <rPr>
            <sz val="11"/>
            <color theme="1"/>
            <rFont val="Calibri"/>
            <family val="2"/>
            <scheme val="minor"/>
          </rPr>
          <t>Introduzca un codigo UNSPSC</t>
        </r>
      </text>
    </comment>
    <comment ref="B4796" authorId="2">
      <text>
        <r>
          <rPr>
            <sz val="11"/>
            <color theme="1"/>
            <rFont val="Calibri"/>
            <family val="2"/>
            <scheme val="minor"/>
          </rPr>
          <t>Descripción calculada automáticamente a partir de código del artículo</t>
        </r>
      </text>
    </comment>
    <comment ref="C4796" authorId="2">
      <text>
        <r>
          <rPr>
            <sz val="11"/>
            <color theme="1"/>
            <rFont val="Calibri"/>
            <family val="2"/>
            <scheme val="minor"/>
          </rPr>
          <t>Seleccione un valor de la lista</t>
        </r>
      </text>
    </comment>
    <comment ref="D4796" authorId="2">
      <text>
        <r>
          <rPr>
            <sz val="11"/>
            <color theme="1"/>
            <rFont val="Calibri"/>
            <family val="2"/>
            <scheme val="minor"/>
          </rPr>
          <t>Introduzca un número con dos decimales como máximo. Debe ser igual o mayor a la "Cantidad Real Consumida"</t>
        </r>
      </text>
    </comment>
    <comment ref="E4796" authorId="2">
      <text>
        <r>
          <rPr>
            <sz val="11"/>
            <color theme="1"/>
            <rFont val="Calibri"/>
            <family val="2"/>
            <scheme val="minor"/>
          </rPr>
          <t>Introduzca un número con dos decimales como máximo</t>
        </r>
      </text>
    </comment>
    <comment ref="F4796" authorId="2">
      <text>
        <r>
          <rPr>
            <sz val="11"/>
            <color theme="1"/>
            <rFont val="Calibri"/>
            <family val="2"/>
            <scheme val="minor"/>
          </rPr>
          <t>Monto calculado automáticamente por el sistema</t>
        </r>
      </text>
    </comment>
    <comment ref="A4801" authorId="2">
      <text>
        <r>
          <rPr>
            <sz val="11"/>
            <color theme="1"/>
            <rFont val="Calibri"/>
            <family val="2"/>
            <scheme val="minor"/>
          </rPr>
          <t>Introducir un texto con el nombre o referencia de la contratación</t>
        </r>
      </text>
    </comment>
    <comment ref="B4801" authorId="2">
      <text>
        <r>
          <rPr>
            <sz val="11"/>
            <color theme="1"/>
            <rFont val="Calibri"/>
            <family val="2"/>
            <scheme val="minor"/>
          </rPr>
          <t>Introduzca un texto con la finalidad de la contratación</t>
        </r>
      </text>
    </comment>
    <comment ref="C4801" authorId="2">
      <text>
        <r>
          <rPr>
            <sz val="11"/>
            <color theme="1"/>
            <rFont val="Calibri"/>
            <family val="2"/>
            <scheme val="minor"/>
          </rPr>
          <t>Seleccionar un valor del listado</t>
        </r>
      </text>
    </comment>
    <comment ref="D4801" authorId="2">
      <text>
        <r>
          <rPr>
            <sz val="11"/>
            <color theme="1"/>
            <rFont val="Calibri"/>
            <family val="2"/>
            <scheme val="minor"/>
          </rPr>
          <t>Seleccione el tipo de procedimiento</t>
        </r>
      </text>
    </comment>
    <comment ref="E4801" authorId="2">
      <text>
        <r>
          <rPr>
            <sz val="11"/>
            <color theme="1"/>
            <rFont val="Calibri"/>
            <family val="2"/>
            <scheme val="minor"/>
          </rPr>
          <t>Seleccione un valor de la lista</t>
        </r>
      </text>
    </comment>
    <comment ref="F4801" authorId="2">
      <text>
        <r>
          <rPr>
            <sz val="11"/>
            <color theme="1"/>
            <rFont val="Calibri"/>
            <family val="2"/>
            <scheme val="minor"/>
          </rPr>
          <t>Introduzca el código SNIP</t>
        </r>
      </text>
    </comment>
    <comment ref="C4802" authorId="2">
      <text>
        <r>
          <rPr>
            <sz val="11"/>
            <color theme="1"/>
            <rFont val="Calibri"/>
            <family val="2"/>
            <scheme val="minor"/>
          </rPr>
          <t>Introduzca la fecha de inicio del proceso, en formato dd-mm-aaaa</t>
        </r>
      </text>
    </comment>
    <comment ref="F48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3" authorId="2">
      <text/>
    </comment>
    <comment ref="C4804" authorId="2">
      <text>
        <r>
          <rPr>
            <sz val="11"/>
            <color theme="1"/>
            <rFont val="Calibri"/>
            <family val="2"/>
            <scheme val="minor"/>
          </rPr>
          <t>Introduzca la fecha prevista de adjudicación, en formato dd-mm-aaaa</t>
        </r>
      </text>
    </comment>
    <comment ref="F4804" authorId="2">
      <text/>
    </comment>
    <comment ref="F4805" authorId="2">
      <text/>
    </comment>
    <comment ref="A4807" authorId="2">
      <text>
        <r>
          <rPr>
            <sz val="11"/>
            <color theme="1"/>
            <rFont val="Calibri"/>
            <family val="2"/>
            <scheme val="minor"/>
          </rPr>
          <t>Introduzca un codigo UNSPSC</t>
        </r>
      </text>
    </comment>
    <comment ref="B4807" authorId="2">
      <text>
        <r>
          <rPr>
            <sz val="11"/>
            <color theme="1"/>
            <rFont val="Calibri"/>
            <family val="2"/>
            <scheme val="minor"/>
          </rPr>
          <t>Descripción calculada automáticamente a partir de código del artículo</t>
        </r>
      </text>
    </comment>
    <comment ref="C4807" authorId="2">
      <text>
        <r>
          <rPr>
            <sz val="11"/>
            <color theme="1"/>
            <rFont val="Calibri"/>
            <family val="2"/>
            <scheme val="minor"/>
          </rPr>
          <t>Seleccione un valor de la lista</t>
        </r>
      </text>
    </comment>
    <comment ref="D4807" authorId="2">
      <text>
        <r>
          <rPr>
            <sz val="11"/>
            <color theme="1"/>
            <rFont val="Calibri"/>
            <family val="2"/>
            <scheme val="minor"/>
          </rPr>
          <t>Introduzca un número con dos decimales como máximo. Debe ser igual o mayor a la "Cantidad Real Consumida"</t>
        </r>
      </text>
    </comment>
    <comment ref="E4807" authorId="2">
      <text>
        <r>
          <rPr>
            <sz val="11"/>
            <color theme="1"/>
            <rFont val="Calibri"/>
            <family val="2"/>
            <scheme val="minor"/>
          </rPr>
          <t>Introduzca un número con dos decimales como máximo</t>
        </r>
      </text>
    </comment>
    <comment ref="F4807" authorId="2">
      <text>
        <r>
          <rPr>
            <sz val="11"/>
            <color theme="1"/>
            <rFont val="Calibri"/>
            <family val="2"/>
            <scheme val="minor"/>
          </rPr>
          <t>Monto calculado automáticamente por el sistema</t>
        </r>
      </text>
    </comment>
    <comment ref="A4818" authorId="2">
      <text>
        <r>
          <rPr>
            <sz val="11"/>
            <color theme="1"/>
            <rFont val="Calibri"/>
            <family val="2"/>
            <scheme val="minor"/>
          </rPr>
          <t>Introducir un texto con el nombre o referencia de la contratación</t>
        </r>
      </text>
    </comment>
    <comment ref="B4818" authorId="2">
      <text>
        <r>
          <rPr>
            <sz val="11"/>
            <color theme="1"/>
            <rFont val="Calibri"/>
            <family val="2"/>
            <scheme val="minor"/>
          </rPr>
          <t>Introduzca un texto con la finalidad de la contratación</t>
        </r>
      </text>
    </comment>
    <comment ref="C4818" authorId="2">
      <text>
        <r>
          <rPr>
            <sz val="11"/>
            <color theme="1"/>
            <rFont val="Calibri"/>
            <family val="2"/>
            <scheme val="minor"/>
          </rPr>
          <t>Seleccionar un valor del listado</t>
        </r>
      </text>
    </comment>
    <comment ref="D4818" authorId="2">
      <text>
        <r>
          <rPr>
            <sz val="11"/>
            <color theme="1"/>
            <rFont val="Calibri"/>
            <family val="2"/>
            <scheme val="minor"/>
          </rPr>
          <t>Seleccione el tipo de procedimiento</t>
        </r>
      </text>
    </comment>
    <comment ref="E4818" authorId="2">
      <text>
        <r>
          <rPr>
            <sz val="11"/>
            <color theme="1"/>
            <rFont val="Calibri"/>
            <family val="2"/>
            <scheme val="minor"/>
          </rPr>
          <t>Seleccione un valor de la lista</t>
        </r>
      </text>
    </comment>
    <comment ref="F4818" authorId="2">
      <text>
        <r>
          <rPr>
            <sz val="11"/>
            <color theme="1"/>
            <rFont val="Calibri"/>
            <family val="2"/>
            <scheme val="minor"/>
          </rPr>
          <t>Introduzca el código SNIP</t>
        </r>
      </text>
    </comment>
    <comment ref="C4819" authorId="2">
      <text>
        <r>
          <rPr>
            <sz val="11"/>
            <color theme="1"/>
            <rFont val="Calibri"/>
            <family val="2"/>
            <scheme val="minor"/>
          </rPr>
          <t>Introduzca la fecha de inicio del proceso, en formato dd-mm-aaaa</t>
        </r>
      </text>
    </comment>
    <comment ref="F481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0" authorId="2">
      <text/>
    </comment>
    <comment ref="C4821" authorId="2">
      <text>
        <r>
          <rPr>
            <sz val="11"/>
            <color theme="1"/>
            <rFont val="Calibri"/>
            <family val="2"/>
            <scheme val="minor"/>
          </rPr>
          <t>Introduzca la fecha prevista de adjudicación, en formato dd-mm-aaaa</t>
        </r>
      </text>
    </comment>
    <comment ref="F4821" authorId="2">
      <text/>
    </comment>
    <comment ref="F4822" authorId="2">
      <text/>
    </comment>
    <comment ref="A4824" authorId="2">
      <text>
        <r>
          <rPr>
            <sz val="11"/>
            <color theme="1"/>
            <rFont val="Calibri"/>
            <family val="2"/>
            <scheme val="minor"/>
          </rPr>
          <t>Introduzca un codigo UNSPSC</t>
        </r>
      </text>
    </comment>
    <comment ref="B4824" authorId="2">
      <text>
        <r>
          <rPr>
            <sz val="11"/>
            <color theme="1"/>
            <rFont val="Calibri"/>
            <family val="2"/>
            <scheme val="minor"/>
          </rPr>
          <t>Descripción calculada automáticamente a partir de código del artículo</t>
        </r>
      </text>
    </comment>
    <comment ref="C4824" authorId="2">
      <text>
        <r>
          <rPr>
            <sz val="11"/>
            <color theme="1"/>
            <rFont val="Calibri"/>
            <family val="2"/>
            <scheme val="minor"/>
          </rPr>
          <t>Seleccione un valor de la lista</t>
        </r>
      </text>
    </comment>
    <comment ref="D4824" authorId="2">
      <text>
        <r>
          <rPr>
            <sz val="11"/>
            <color theme="1"/>
            <rFont val="Calibri"/>
            <family val="2"/>
            <scheme val="minor"/>
          </rPr>
          <t>Introduzca un número con dos decimales como máximo. Debe ser igual o mayor a la "Cantidad Real Consumida"</t>
        </r>
      </text>
    </comment>
    <comment ref="E4824" authorId="2">
      <text>
        <r>
          <rPr>
            <sz val="11"/>
            <color theme="1"/>
            <rFont val="Calibri"/>
            <family val="2"/>
            <scheme val="minor"/>
          </rPr>
          <t>Introduzca un número con dos decimales como máximo</t>
        </r>
      </text>
    </comment>
    <comment ref="F4824" authorId="2">
      <text>
        <r>
          <rPr>
            <sz val="11"/>
            <color theme="1"/>
            <rFont val="Calibri"/>
            <family val="2"/>
            <scheme val="minor"/>
          </rPr>
          <t>Monto calculado automáticamente por el sistema</t>
        </r>
      </text>
    </comment>
    <comment ref="A4852" authorId="2">
      <text>
        <r>
          <rPr>
            <sz val="11"/>
            <color theme="1"/>
            <rFont val="Calibri"/>
            <family val="2"/>
            <scheme val="minor"/>
          </rPr>
          <t>Introducir un texto con el nombre o referencia de la contratación</t>
        </r>
      </text>
    </comment>
    <comment ref="B4852" authorId="2">
      <text>
        <r>
          <rPr>
            <sz val="11"/>
            <color theme="1"/>
            <rFont val="Calibri"/>
            <family val="2"/>
            <scheme val="minor"/>
          </rPr>
          <t>Introduzca un texto con la finalidad de la contratación</t>
        </r>
      </text>
    </comment>
    <comment ref="C4852" authorId="2">
      <text>
        <r>
          <rPr>
            <sz val="11"/>
            <color theme="1"/>
            <rFont val="Calibri"/>
            <family val="2"/>
            <scheme val="minor"/>
          </rPr>
          <t>Seleccionar un valor del listado</t>
        </r>
      </text>
    </comment>
    <comment ref="D4852" authorId="2">
      <text>
        <r>
          <rPr>
            <sz val="11"/>
            <color theme="1"/>
            <rFont val="Calibri"/>
            <family val="2"/>
            <scheme val="minor"/>
          </rPr>
          <t>Seleccione el tipo de procedimiento</t>
        </r>
      </text>
    </comment>
    <comment ref="E4852" authorId="2">
      <text>
        <r>
          <rPr>
            <sz val="11"/>
            <color theme="1"/>
            <rFont val="Calibri"/>
            <family val="2"/>
            <scheme val="minor"/>
          </rPr>
          <t>Seleccione un valor de la lista</t>
        </r>
      </text>
    </comment>
    <comment ref="F4852" authorId="2">
      <text>
        <r>
          <rPr>
            <sz val="11"/>
            <color theme="1"/>
            <rFont val="Calibri"/>
            <family val="2"/>
            <scheme val="minor"/>
          </rPr>
          <t>Introduzca el código SNIP</t>
        </r>
      </text>
    </comment>
    <comment ref="C4853" authorId="2">
      <text>
        <r>
          <rPr>
            <sz val="11"/>
            <color theme="1"/>
            <rFont val="Calibri"/>
            <family val="2"/>
            <scheme val="minor"/>
          </rPr>
          <t>Introduzca la fecha de inicio del proceso, en formato dd-mm-aaaa</t>
        </r>
      </text>
    </comment>
    <comment ref="F48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4" authorId="2">
      <text/>
    </comment>
    <comment ref="C4855" authorId="2">
      <text>
        <r>
          <rPr>
            <sz val="11"/>
            <color theme="1"/>
            <rFont val="Calibri"/>
            <family val="2"/>
            <scheme val="minor"/>
          </rPr>
          <t>Introduzca la fecha prevista de adjudicación, en formato dd-mm-aaaa</t>
        </r>
      </text>
    </comment>
    <comment ref="F4855" authorId="2">
      <text/>
    </comment>
    <comment ref="F4856" authorId="2">
      <text/>
    </comment>
    <comment ref="A4858" authorId="2">
      <text>
        <r>
          <rPr>
            <sz val="11"/>
            <color theme="1"/>
            <rFont val="Calibri"/>
            <family val="2"/>
            <scheme val="minor"/>
          </rPr>
          <t>Introduzca un codigo UNSPSC</t>
        </r>
      </text>
    </comment>
    <comment ref="B4858" authorId="2">
      <text>
        <r>
          <rPr>
            <sz val="11"/>
            <color theme="1"/>
            <rFont val="Calibri"/>
            <family val="2"/>
            <scheme val="minor"/>
          </rPr>
          <t>Descripción calculada automáticamente a partir de código del artículo</t>
        </r>
      </text>
    </comment>
    <comment ref="C4858" authorId="2">
      <text>
        <r>
          <rPr>
            <sz val="11"/>
            <color theme="1"/>
            <rFont val="Calibri"/>
            <family val="2"/>
            <scheme val="minor"/>
          </rPr>
          <t>Seleccione un valor de la lista</t>
        </r>
      </text>
    </comment>
    <comment ref="D4858" authorId="2">
      <text>
        <r>
          <rPr>
            <sz val="11"/>
            <color theme="1"/>
            <rFont val="Calibri"/>
            <family val="2"/>
            <scheme val="minor"/>
          </rPr>
          <t>Introduzca un número con dos decimales como máximo. Debe ser igual o mayor a la "Cantidad Real Consumida"</t>
        </r>
      </text>
    </comment>
    <comment ref="E4858" authorId="2">
      <text>
        <r>
          <rPr>
            <sz val="11"/>
            <color theme="1"/>
            <rFont val="Calibri"/>
            <family val="2"/>
            <scheme val="minor"/>
          </rPr>
          <t>Introduzca un número con dos decimales como máximo</t>
        </r>
      </text>
    </comment>
    <comment ref="F4858" authorId="2">
      <text>
        <r>
          <rPr>
            <sz val="11"/>
            <color theme="1"/>
            <rFont val="Calibri"/>
            <family val="2"/>
            <scheme val="minor"/>
          </rPr>
          <t>Monto calculado automáticamente por el sistema</t>
        </r>
      </text>
    </comment>
    <comment ref="A4867" authorId="2">
      <text>
        <r>
          <rPr>
            <sz val="11"/>
            <color theme="1"/>
            <rFont val="Calibri"/>
            <family val="2"/>
            <scheme val="minor"/>
          </rPr>
          <t>Introducir un texto con el nombre o referencia de la contratación</t>
        </r>
      </text>
    </comment>
    <comment ref="B4867" authorId="2">
      <text>
        <r>
          <rPr>
            <sz val="11"/>
            <color theme="1"/>
            <rFont val="Calibri"/>
            <family val="2"/>
            <scheme val="minor"/>
          </rPr>
          <t>Introduzca un texto con la finalidad de la contratación</t>
        </r>
      </text>
    </comment>
    <comment ref="C4867" authorId="2">
      <text>
        <r>
          <rPr>
            <sz val="11"/>
            <color theme="1"/>
            <rFont val="Calibri"/>
            <family val="2"/>
            <scheme val="minor"/>
          </rPr>
          <t>Seleccionar un valor del listado</t>
        </r>
      </text>
    </comment>
    <comment ref="D4867" authorId="2">
      <text>
        <r>
          <rPr>
            <sz val="11"/>
            <color theme="1"/>
            <rFont val="Calibri"/>
            <family val="2"/>
            <scheme val="minor"/>
          </rPr>
          <t>Seleccione el tipo de procedimiento</t>
        </r>
      </text>
    </comment>
    <comment ref="E4867" authorId="2">
      <text>
        <r>
          <rPr>
            <sz val="11"/>
            <color theme="1"/>
            <rFont val="Calibri"/>
            <family val="2"/>
            <scheme val="minor"/>
          </rPr>
          <t>Seleccione un valor de la lista</t>
        </r>
      </text>
    </comment>
    <comment ref="F4867" authorId="2">
      <text>
        <r>
          <rPr>
            <sz val="11"/>
            <color theme="1"/>
            <rFont val="Calibri"/>
            <family val="2"/>
            <scheme val="minor"/>
          </rPr>
          <t>Introduzca el código SNIP</t>
        </r>
      </text>
    </comment>
    <comment ref="C4868" authorId="2">
      <text>
        <r>
          <rPr>
            <sz val="11"/>
            <color theme="1"/>
            <rFont val="Calibri"/>
            <family val="2"/>
            <scheme val="minor"/>
          </rPr>
          <t>Introduzca la fecha de inicio del proceso, en formato dd-mm-aaaa</t>
        </r>
      </text>
    </comment>
    <comment ref="F48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9" authorId="2">
      <text/>
    </comment>
    <comment ref="C4870" authorId="2">
      <text>
        <r>
          <rPr>
            <sz val="11"/>
            <color theme="1"/>
            <rFont val="Calibri"/>
            <family val="2"/>
            <scheme val="minor"/>
          </rPr>
          <t>Introduzca la fecha prevista de adjudicación, en formato dd-mm-aaaa</t>
        </r>
      </text>
    </comment>
    <comment ref="F4870" authorId="2">
      <text/>
    </comment>
    <comment ref="F4871" authorId="2">
      <text/>
    </comment>
    <comment ref="A4873" authorId="2">
      <text>
        <r>
          <rPr>
            <sz val="11"/>
            <color theme="1"/>
            <rFont val="Calibri"/>
            <family val="2"/>
            <scheme val="minor"/>
          </rPr>
          <t>Introduzca un codigo UNSPSC</t>
        </r>
      </text>
    </comment>
    <comment ref="B4873" authorId="2">
      <text>
        <r>
          <rPr>
            <sz val="11"/>
            <color theme="1"/>
            <rFont val="Calibri"/>
            <family val="2"/>
            <scheme val="minor"/>
          </rPr>
          <t>Descripción calculada automáticamente a partir de código del artículo</t>
        </r>
      </text>
    </comment>
    <comment ref="C4873" authorId="2">
      <text>
        <r>
          <rPr>
            <sz val="11"/>
            <color theme="1"/>
            <rFont val="Calibri"/>
            <family val="2"/>
            <scheme val="minor"/>
          </rPr>
          <t>Seleccione un valor de la lista</t>
        </r>
      </text>
    </comment>
    <comment ref="D4873" authorId="2">
      <text>
        <r>
          <rPr>
            <sz val="11"/>
            <color theme="1"/>
            <rFont val="Calibri"/>
            <family val="2"/>
            <scheme val="minor"/>
          </rPr>
          <t>Introduzca un número con dos decimales como máximo. Debe ser igual o mayor a la "Cantidad Real Consumida"</t>
        </r>
      </text>
    </comment>
    <comment ref="E4873" authorId="2">
      <text>
        <r>
          <rPr>
            <sz val="11"/>
            <color theme="1"/>
            <rFont val="Calibri"/>
            <family val="2"/>
            <scheme val="minor"/>
          </rPr>
          <t>Introduzca un número con dos decimales como máximo</t>
        </r>
      </text>
    </comment>
    <comment ref="F4873" authorId="2">
      <text>
        <r>
          <rPr>
            <sz val="11"/>
            <color theme="1"/>
            <rFont val="Calibri"/>
            <family val="2"/>
            <scheme val="minor"/>
          </rPr>
          <t>Monto calculado automáticamente por el sistema</t>
        </r>
      </text>
    </comment>
    <comment ref="A4880" authorId="2">
      <text>
        <r>
          <rPr>
            <sz val="11"/>
            <color theme="1"/>
            <rFont val="Calibri"/>
            <family val="2"/>
            <scheme val="minor"/>
          </rPr>
          <t>Introducir un texto con el nombre o referencia de la contratación</t>
        </r>
      </text>
    </comment>
    <comment ref="B4880" authorId="2">
      <text>
        <r>
          <rPr>
            <sz val="11"/>
            <color theme="1"/>
            <rFont val="Calibri"/>
            <family val="2"/>
            <scheme val="minor"/>
          </rPr>
          <t>Introduzca un texto con la finalidad de la contratación</t>
        </r>
      </text>
    </comment>
    <comment ref="C4880" authorId="2">
      <text>
        <r>
          <rPr>
            <sz val="11"/>
            <color theme="1"/>
            <rFont val="Calibri"/>
            <family val="2"/>
            <scheme val="minor"/>
          </rPr>
          <t>Seleccionar un valor del listado</t>
        </r>
      </text>
    </comment>
    <comment ref="D4880" authorId="2">
      <text>
        <r>
          <rPr>
            <sz val="11"/>
            <color theme="1"/>
            <rFont val="Calibri"/>
            <family val="2"/>
            <scheme val="minor"/>
          </rPr>
          <t>Seleccione el tipo de procedimiento</t>
        </r>
      </text>
    </comment>
    <comment ref="E4880" authorId="2">
      <text>
        <r>
          <rPr>
            <sz val="11"/>
            <color theme="1"/>
            <rFont val="Calibri"/>
            <family val="2"/>
            <scheme val="minor"/>
          </rPr>
          <t>Seleccione un valor de la lista</t>
        </r>
      </text>
    </comment>
    <comment ref="F4880" authorId="2">
      <text>
        <r>
          <rPr>
            <sz val="11"/>
            <color theme="1"/>
            <rFont val="Calibri"/>
            <family val="2"/>
            <scheme val="minor"/>
          </rPr>
          <t>Introduzca el código SNIP</t>
        </r>
      </text>
    </comment>
    <comment ref="C4881" authorId="2">
      <text>
        <r>
          <rPr>
            <sz val="11"/>
            <color theme="1"/>
            <rFont val="Calibri"/>
            <family val="2"/>
            <scheme val="minor"/>
          </rPr>
          <t>Introduzca la fecha de inicio del proceso, en formato dd-mm-aaaa</t>
        </r>
      </text>
    </comment>
    <comment ref="F48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2" authorId="2">
      <text/>
    </comment>
    <comment ref="C4883" authorId="2">
      <text>
        <r>
          <rPr>
            <sz val="11"/>
            <color theme="1"/>
            <rFont val="Calibri"/>
            <family val="2"/>
            <scheme val="minor"/>
          </rPr>
          <t>Introduzca la fecha prevista de adjudicación, en formato dd-mm-aaaa</t>
        </r>
      </text>
    </comment>
    <comment ref="F4883" authorId="2">
      <text/>
    </comment>
    <comment ref="F4884" authorId="2">
      <text/>
    </comment>
    <comment ref="A4886" authorId="2">
      <text>
        <r>
          <rPr>
            <sz val="11"/>
            <color theme="1"/>
            <rFont val="Calibri"/>
            <family val="2"/>
            <scheme val="minor"/>
          </rPr>
          <t>Introduzca un codigo UNSPSC</t>
        </r>
      </text>
    </comment>
    <comment ref="B4886" authorId="2">
      <text>
        <r>
          <rPr>
            <sz val="11"/>
            <color theme="1"/>
            <rFont val="Calibri"/>
            <family val="2"/>
            <scheme val="minor"/>
          </rPr>
          <t>Descripción calculada automáticamente a partir de código del artículo</t>
        </r>
      </text>
    </comment>
    <comment ref="C4886" authorId="2">
      <text>
        <r>
          <rPr>
            <sz val="11"/>
            <color theme="1"/>
            <rFont val="Calibri"/>
            <family val="2"/>
            <scheme val="minor"/>
          </rPr>
          <t>Seleccione un valor de la lista</t>
        </r>
      </text>
    </comment>
    <comment ref="D4886" authorId="2">
      <text>
        <r>
          <rPr>
            <sz val="11"/>
            <color theme="1"/>
            <rFont val="Calibri"/>
            <family val="2"/>
            <scheme val="minor"/>
          </rPr>
          <t>Introduzca un número con dos decimales como máximo. Debe ser igual o mayor a la "Cantidad Real Consumida"</t>
        </r>
      </text>
    </comment>
    <comment ref="E4886" authorId="2">
      <text>
        <r>
          <rPr>
            <sz val="11"/>
            <color theme="1"/>
            <rFont val="Calibri"/>
            <family val="2"/>
            <scheme val="minor"/>
          </rPr>
          <t>Introduzca un número con dos decimales como máximo</t>
        </r>
      </text>
    </comment>
    <comment ref="F4886" authorId="2">
      <text>
        <r>
          <rPr>
            <sz val="11"/>
            <color theme="1"/>
            <rFont val="Calibri"/>
            <family val="2"/>
            <scheme val="minor"/>
          </rPr>
          <t>Monto calculado automáticamente por el sistema</t>
        </r>
      </text>
    </comment>
    <comment ref="A4897" authorId="2">
      <text>
        <r>
          <rPr>
            <sz val="11"/>
            <color theme="1"/>
            <rFont val="Calibri"/>
            <family val="2"/>
            <scheme val="minor"/>
          </rPr>
          <t>Introducir un texto con el nombre o referencia de la contratación</t>
        </r>
      </text>
    </comment>
    <comment ref="B4897" authorId="2">
      <text>
        <r>
          <rPr>
            <sz val="11"/>
            <color theme="1"/>
            <rFont val="Calibri"/>
            <family val="2"/>
            <scheme val="minor"/>
          </rPr>
          <t>Introduzca un texto con la finalidad de la contratación</t>
        </r>
      </text>
    </comment>
    <comment ref="C4897" authorId="2">
      <text>
        <r>
          <rPr>
            <sz val="11"/>
            <color theme="1"/>
            <rFont val="Calibri"/>
            <family val="2"/>
            <scheme val="minor"/>
          </rPr>
          <t>Seleccionar un valor del listado</t>
        </r>
      </text>
    </comment>
    <comment ref="D4897" authorId="2">
      <text>
        <r>
          <rPr>
            <sz val="11"/>
            <color theme="1"/>
            <rFont val="Calibri"/>
            <family val="2"/>
            <scheme val="minor"/>
          </rPr>
          <t>Seleccione el tipo de procedimiento</t>
        </r>
      </text>
    </comment>
    <comment ref="E4897" authorId="2">
      <text>
        <r>
          <rPr>
            <sz val="11"/>
            <color theme="1"/>
            <rFont val="Calibri"/>
            <family val="2"/>
            <scheme val="minor"/>
          </rPr>
          <t>Seleccione un valor de la lista</t>
        </r>
      </text>
    </comment>
    <comment ref="F4897" authorId="2">
      <text>
        <r>
          <rPr>
            <sz val="11"/>
            <color theme="1"/>
            <rFont val="Calibri"/>
            <family val="2"/>
            <scheme val="minor"/>
          </rPr>
          <t>Introduzca el código SNIP</t>
        </r>
      </text>
    </comment>
    <comment ref="C4898" authorId="2">
      <text>
        <r>
          <rPr>
            <sz val="11"/>
            <color theme="1"/>
            <rFont val="Calibri"/>
            <family val="2"/>
            <scheme val="minor"/>
          </rPr>
          <t>Introduzca la fecha de inicio del proceso, en formato dd-mm-aaaa</t>
        </r>
      </text>
    </comment>
    <comment ref="F48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9" authorId="2">
      <text/>
    </comment>
    <comment ref="C4900" authorId="2">
      <text>
        <r>
          <rPr>
            <sz val="11"/>
            <color theme="1"/>
            <rFont val="Calibri"/>
            <family val="2"/>
            <scheme val="minor"/>
          </rPr>
          <t>Introduzca la fecha prevista de adjudicación, en formato dd-mm-aaaa</t>
        </r>
      </text>
    </comment>
    <comment ref="F4900" authorId="2">
      <text/>
    </comment>
    <comment ref="F4901" authorId="2">
      <text/>
    </comment>
    <comment ref="A4903" authorId="2">
      <text>
        <r>
          <rPr>
            <sz val="11"/>
            <color theme="1"/>
            <rFont val="Calibri"/>
            <family val="2"/>
            <scheme val="minor"/>
          </rPr>
          <t>Introduzca un codigo UNSPSC</t>
        </r>
      </text>
    </comment>
    <comment ref="B4903" authorId="2">
      <text>
        <r>
          <rPr>
            <sz val="11"/>
            <color theme="1"/>
            <rFont val="Calibri"/>
            <family val="2"/>
            <scheme val="minor"/>
          </rPr>
          <t>Descripción calculada automáticamente a partir de código del artículo</t>
        </r>
      </text>
    </comment>
    <comment ref="C4903" authorId="2">
      <text>
        <r>
          <rPr>
            <sz val="11"/>
            <color theme="1"/>
            <rFont val="Calibri"/>
            <family val="2"/>
            <scheme val="minor"/>
          </rPr>
          <t>Seleccione un valor de la lista</t>
        </r>
      </text>
    </comment>
    <comment ref="D4903" authorId="2">
      <text>
        <r>
          <rPr>
            <sz val="11"/>
            <color theme="1"/>
            <rFont val="Calibri"/>
            <family val="2"/>
            <scheme val="minor"/>
          </rPr>
          <t>Introduzca un número con dos decimales como máximo. Debe ser igual o mayor a la "Cantidad Real Consumida"</t>
        </r>
      </text>
    </comment>
    <comment ref="E4903" authorId="2">
      <text>
        <r>
          <rPr>
            <sz val="11"/>
            <color theme="1"/>
            <rFont val="Calibri"/>
            <family val="2"/>
            <scheme val="minor"/>
          </rPr>
          <t>Introduzca un número con dos decimales como máximo</t>
        </r>
      </text>
    </comment>
    <comment ref="F4903" authorId="2">
      <text>
        <r>
          <rPr>
            <sz val="11"/>
            <color theme="1"/>
            <rFont val="Calibri"/>
            <family val="2"/>
            <scheme val="minor"/>
          </rPr>
          <t>Monto calculado automáticamente por el sistema</t>
        </r>
      </text>
    </comment>
    <comment ref="A4908" authorId="2">
      <text>
        <r>
          <rPr>
            <sz val="11"/>
            <color theme="1"/>
            <rFont val="Calibri"/>
            <family val="2"/>
            <scheme val="minor"/>
          </rPr>
          <t>Introducir un texto con el nombre o referencia de la contratación</t>
        </r>
      </text>
    </comment>
    <comment ref="B4908" authorId="2">
      <text>
        <r>
          <rPr>
            <sz val="11"/>
            <color theme="1"/>
            <rFont val="Calibri"/>
            <family val="2"/>
            <scheme val="minor"/>
          </rPr>
          <t>Introduzca un texto con la finalidad de la contratación</t>
        </r>
      </text>
    </comment>
    <comment ref="C4908" authorId="2">
      <text>
        <r>
          <rPr>
            <sz val="11"/>
            <color theme="1"/>
            <rFont val="Calibri"/>
            <family val="2"/>
            <scheme val="minor"/>
          </rPr>
          <t>Seleccionar un valor del listado</t>
        </r>
      </text>
    </comment>
    <comment ref="D4908" authorId="2">
      <text>
        <r>
          <rPr>
            <sz val="11"/>
            <color theme="1"/>
            <rFont val="Calibri"/>
            <family val="2"/>
            <scheme val="minor"/>
          </rPr>
          <t>Seleccione el tipo de procedimiento</t>
        </r>
      </text>
    </comment>
    <comment ref="E4908" authorId="2">
      <text>
        <r>
          <rPr>
            <sz val="11"/>
            <color theme="1"/>
            <rFont val="Calibri"/>
            <family val="2"/>
            <scheme val="minor"/>
          </rPr>
          <t>Seleccione un valor de la lista</t>
        </r>
      </text>
    </comment>
    <comment ref="F4908" authorId="2">
      <text>
        <r>
          <rPr>
            <sz val="11"/>
            <color theme="1"/>
            <rFont val="Calibri"/>
            <family val="2"/>
            <scheme val="minor"/>
          </rPr>
          <t>Introduzca el código SNIP</t>
        </r>
      </text>
    </comment>
    <comment ref="C4909" authorId="2">
      <text>
        <r>
          <rPr>
            <sz val="11"/>
            <color theme="1"/>
            <rFont val="Calibri"/>
            <family val="2"/>
            <scheme val="minor"/>
          </rPr>
          <t>Introduzca la fecha de inicio del proceso, en formato dd-mm-aaaa</t>
        </r>
      </text>
    </comment>
    <comment ref="F49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0" authorId="2">
      <text/>
    </comment>
    <comment ref="C4911" authorId="2">
      <text>
        <r>
          <rPr>
            <sz val="11"/>
            <color theme="1"/>
            <rFont val="Calibri"/>
            <family val="2"/>
            <scheme val="minor"/>
          </rPr>
          <t>Introduzca la fecha prevista de adjudicación, en formato dd-mm-aaaa</t>
        </r>
      </text>
    </comment>
    <comment ref="F4911" authorId="2">
      <text/>
    </comment>
    <comment ref="F4912" authorId="2">
      <text/>
    </comment>
    <comment ref="A4914" authorId="2">
      <text>
        <r>
          <rPr>
            <sz val="11"/>
            <color theme="1"/>
            <rFont val="Calibri"/>
            <family val="2"/>
            <scheme val="minor"/>
          </rPr>
          <t>Introduzca un codigo UNSPSC</t>
        </r>
      </text>
    </comment>
    <comment ref="B4914" authorId="2">
      <text>
        <r>
          <rPr>
            <sz val="11"/>
            <color theme="1"/>
            <rFont val="Calibri"/>
            <family val="2"/>
            <scheme val="minor"/>
          </rPr>
          <t>Descripción calculada automáticamente a partir de código del artículo</t>
        </r>
      </text>
    </comment>
    <comment ref="C4914" authorId="2">
      <text>
        <r>
          <rPr>
            <sz val="11"/>
            <color theme="1"/>
            <rFont val="Calibri"/>
            <family val="2"/>
            <scheme val="minor"/>
          </rPr>
          <t>Seleccione un valor de la lista</t>
        </r>
      </text>
    </comment>
    <comment ref="D4914" authorId="2">
      <text>
        <r>
          <rPr>
            <sz val="11"/>
            <color theme="1"/>
            <rFont val="Calibri"/>
            <family val="2"/>
            <scheme val="minor"/>
          </rPr>
          <t>Introduzca un número con dos decimales como máximo. Debe ser igual o mayor a la "Cantidad Real Consumida"</t>
        </r>
      </text>
    </comment>
    <comment ref="E4914" authorId="2">
      <text>
        <r>
          <rPr>
            <sz val="11"/>
            <color theme="1"/>
            <rFont val="Calibri"/>
            <family val="2"/>
            <scheme val="minor"/>
          </rPr>
          <t>Introduzca un número con dos decimales como máximo</t>
        </r>
      </text>
    </comment>
    <comment ref="F4914" authorId="2">
      <text>
        <r>
          <rPr>
            <sz val="11"/>
            <color theme="1"/>
            <rFont val="Calibri"/>
            <family val="2"/>
            <scheme val="minor"/>
          </rPr>
          <t>Monto calculado automáticamente por el sistema</t>
        </r>
      </text>
    </comment>
    <comment ref="A4920" authorId="2">
      <text>
        <r>
          <rPr>
            <sz val="11"/>
            <color theme="1"/>
            <rFont val="Calibri"/>
            <family val="2"/>
            <scheme val="minor"/>
          </rPr>
          <t>Introducir un texto con el nombre o referencia de la contratación</t>
        </r>
      </text>
    </comment>
    <comment ref="B4920" authorId="2">
      <text>
        <r>
          <rPr>
            <sz val="11"/>
            <color theme="1"/>
            <rFont val="Calibri"/>
            <family val="2"/>
            <scheme val="minor"/>
          </rPr>
          <t>Introduzca un texto con la finalidad de la contratación</t>
        </r>
      </text>
    </comment>
    <comment ref="C4920" authorId="2">
      <text>
        <r>
          <rPr>
            <sz val="11"/>
            <color theme="1"/>
            <rFont val="Calibri"/>
            <family val="2"/>
            <scheme val="minor"/>
          </rPr>
          <t>Seleccionar un valor del listado</t>
        </r>
      </text>
    </comment>
    <comment ref="D4920" authorId="2">
      <text>
        <r>
          <rPr>
            <sz val="11"/>
            <color theme="1"/>
            <rFont val="Calibri"/>
            <family val="2"/>
            <scheme val="minor"/>
          </rPr>
          <t>Seleccione el tipo de procedimiento</t>
        </r>
      </text>
    </comment>
    <comment ref="E4920" authorId="2">
      <text>
        <r>
          <rPr>
            <sz val="11"/>
            <color theme="1"/>
            <rFont val="Calibri"/>
            <family val="2"/>
            <scheme val="minor"/>
          </rPr>
          <t>Seleccione un valor de la lista</t>
        </r>
      </text>
    </comment>
    <comment ref="F4920" authorId="2">
      <text>
        <r>
          <rPr>
            <sz val="11"/>
            <color theme="1"/>
            <rFont val="Calibri"/>
            <family val="2"/>
            <scheme val="minor"/>
          </rPr>
          <t>Introduzca el código SNIP</t>
        </r>
      </text>
    </comment>
    <comment ref="C4921" authorId="2">
      <text>
        <r>
          <rPr>
            <sz val="11"/>
            <color theme="1"/>
            <rFont val="Calibri"/>
            <family val="2"/>
            <scheme val="minor"/>
          </rPr>
          <t>Introduzca la fecha de inicio del proceso, en formato dd-mm-aaaa</t>
        </r>
      </text>
    </comment>
    <comment ref="F49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2" authorId="2">
      <text/>
    </comment>
    <comment ref="C4923" authorId="2">
      <text>
        <r>
          <rPr>
            <sz val="11"/>
            <color theme="1"/>
            <rFont val="Calibri"/>
            <family val="2"/>
            <scheme val="minor"/>
          </rPr>
          <t>Introduzca la fecha prevista de adjudicación, en formato dd-mm-aaaa</t>
        </r>
      </text>
    </comment>
    <comment ref="F4923" authorId="2">
      <text/>
    </comment>
    <comment ref="F4924" authorId="2">
      <text/>
    </comment>
    <comment ref="A4926" authorId="2">
      <text>
        <r>
          <rPr>
            <sz val="11"/>
            <color theme="1"/>
            <rFont val="Calibri"/>
            <family val="2"/>
            <scheme val="minor"/>
          </rPr>
          <t>Introduzca un codigo UNSPSC</t>
        </r>
      </text>
    </comment>
    <comment ref="B4926" authorId="2">
      <text>
        <r>
          <rPr>
            <sz val="11"/>
            <color theme="1"/>
            <rFont val="Calibri"/>
            <family val="2"/>
            <scheme val="minor"/>
          </rPr>
          <t>Descripción calculada automáticamente a partir de código del artículo</t>
        </r>
      </text>
    </comment>
    <comment ref="C4926" authorId="2">
      <text>
        <r>
          <rPr>
            <sz val="11"/>
            <color theme="1"/>
            <rFont val="Calibri"/>
            <family val="2"/>
            <scheme val="minor"/>
          </rPr>
          <t>Seleccione un valor de la lista</t>
        </r>
      </text>
    </comment>
    <comment ref="D4926" authorId="2">
      <text>
        <r>
          <rPr>
            <sz val="11"/>
            <color theme="1"/>
            <rFont val="Calibri"/>
            <family val="2"/>
            <scheme val="minor"/>
          </rPr>
          <t>Introduzca un número con dos decimales como máximo. Debe ser igual o mayor a la "Cantidad Real Consumida"</t>
        </r>
      </text>
    </comment>
    <comment ref="E4926" authorId="2">
      <text>
        <r>
          <rPr>
            <sz val="11"/>
            <color theme="1"/>
            <rFont val="Calibri"/>
            <family val="2"/>
            <scheme val="minor"/>
          </rPr>
          <t>Introduzca un número con dos decimales como máximo</t>
        </r>
      </text>
    </comment>
    <comment ref="F4926" authorId="2">
      <text>
        <r>
          <rPr>
            <sz val="11"/>
            <color theme="1"/>
            <rFont val="Calibri"/>
            <family val="2"/>
            <scheme val="minor"/>
          </rPr>
          <t>Monto calculado automáticamente por el sistema</t>
        </r>
      </text>
    </comment>
    <comment ref="A4931" authorId="2">
      <text>
        <r>
          <rPr>
            <sz val="11"/>
            <color theme="1"/>
            <rFont val="Calibri"/>
            <family val="2"/>
            <scheme val="minor"/>
          </rPr>
          <t>Introducir un texto con el nombre o referencia de la contratación</t>
        </r>
      </text>
    </comment>
    <comment ref="B4931" authorId="2">
      <text>
        <r>
          <rPr>
            <sz val="11"/>
            <color theme="1"/>
            <rFont val="Calibri"/>
            <family val="2"/>
            <scheme val="minor"/>
          </rPr>
          <t>Introduzca un texto con la finalidad de la contratación</t>
        </r>
      </text>
    </comment>
    <comment ref="C4931" authorId="2">
      <text>
        <r>
          <rPr>
            <sz val="11"/>
            <color theme="1"/>
            <rFont val="Calibri"/>
            <family val="2"/>
            <scheme val="minor"/>
          </rPr>
          <t>Seleccionar un valor del listado</t>
        </r>
      </text>
    </comment>
    <comment ref="D4931" authorId="2">
      <text>
        <r>
          <rPr>
            <sz val="11"/>
            <color theme="1"/>
            <rFont val="Calibri"/>
            <family val="2"/>
            <scheme val="minor"/>
          </rPr>
          <t>Seleccione el tipo de procedimiento</t>
        </r>
      </text>
    </comment>
    <comment ref="E4931" authorId="2">
      <text>
        <r>
          <rPr>
            <sz val="11"/>
            <color theme="1"/>
            <rFont val="Calibri"/>
            <family val="2"/>
            <scheme val="minor"/>
          </rPr>
          <t>Seleccione un valor de la lista</t>
        </r>
      </text>
    </comment>
    <comment ref="F4931" authorId="2">
      <text>
        <r>
          <rPr>
            <sz val="11"/>
            <color theme="1"/>
            <rFont val="Calibri"/>
            <family val="2"/>
            <scheme val="minor"/>
          </rPr>
          <t>Introduzca el código SNIP</t>
        </r>
      </text>
    </comment>
    <comment ref="C4932" authorId="2">
      <text>
        <r>
          <rPr>
            <sz val="11"/>
            <color theme="1"/>
            <rFont val="Calibri"/>
            <family val="2"/>
            <scheme val="minor"/>
          </rPr>
          <t>Introduzca la fecha de inicio del proceso, en formato dd-mm-aaaa</t>
        </r>
      </text>
    </comment>
    <comment ref="F49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3" authorId="2">
      <text/>
    </comment>
    <comment ref="C4934" authorId="2">
      <text>
        <r>
          <rPr>
            <sz val="11"/>
            <color theme="1"/>
            <rFont val="Calibri"/>
            <family val="2"/>
            <scheme val="minor"/>
          </rPr>
          <t>Introduzca la fecha prevista de adjudicación, en formato dd-mm-aaaa</t>
        </r>
      </text>
    </comment>
    <comment ref="F4934" authorId="2">
      <text/>
    </comment>
    <comment ref="F4935" authorId="2">
      <text/>
    </comment>
    <comment ref="A4937" authorId="2">
      <text>
        <r>
          <rPr>
            <sz val="11"/>
            <color theme="1"/>
            <rFont val="Calibri"/>
            <family val="2"/>
            <scheme val="minor"/>
          </rPr>
          <t>Introduzca un codigo UNSPSC</t>
        </r>
      </text>
    </comment>
    <comment ref="B4937" authorId="2">
      <text>
        <r>
          <rPr>
            <sz val="11"/>
            <color theme="1"/>
            <rFont val="Calibri"/>
            <family val="2"/>
            <scheme val="minor"/>
          </rPr>
          <t>Descripción calculada automáticamente a partir de código del artículo</t>
        </r>
      </text>
    </comment>
    <comment ref="C4937" authorId="2">
      <text>
        <r>
          <rPr>
            <sz val="11"/>
            <color theme="1"/>
            <rFont val="Calibri"/>
            <family val="2"/>
            <scheme val="minor"/>
          </rPr>
          <t>Seleccione un valor de la lista</t>
        </r>
      </text>
    </comment>
    <comment ref="D4937" authorId="2">
      <text>
        <r>
          <rPr>
            <sz val="11"/>
            <color theme="1"/>
            <rFont val="Calibri"/>
            <family val="2"/>
            <scheme val="minor"/>
          </rPr>
          <t>Introduzca un número con dos decimales como máximo. Debe ser igual o mayor a la "Cantidad Real Consumida"</t>
        </r>
      </text>
    </comment>
    <comment ref="E4937" authorId="2">
      <text>
        <r>
          <rPr>
            <sz val="11"/>
            <color theme="1"/>
            <rFont val="Calibri"/>
            <family val="2"/>
            <scheme val="minor"/>
          </rPr>
          <t>Introduzca un número con dos decimales como máximo</t>
        </r>
      </text>
    </comment>
    <comment ref="F4937" authorId="2">
      <text>
        <r>
          <rPr>
            <sz val="11"/>
            <color theme="1"/>
            <rFont val="Calibri"/>
            <family val="2"/>
            <scheme val="minor"/>
          </rPr>
          <t>Monto calculado automáticamente por el sistema</t>
        </r>
      </text>
    </comment>
    <comment ref="A4942" authorId="2">
      <text>
        <r>
          <rPr>
            <sz val="11"/>
            <color theme="1"/>
            <rFont val="Calibri"/>
            <family val="2"/>
            <scheme val="minor"/>
          </rPr>
          <t>Introducir un texto con el nombre o referencia de la contratación</t>
        </r>
      </text>
    </comment>
    <comment ref="B4942" authorId="2">
      <text>
        <r>
          <rPr>
            <sz val="11"/>
            <color theme="1"/>
            <rFont val="Calibri"/>
            <family val="2"/>
            <scheme val="minor"/>
          </rPr>
          <t>Introduzca un texto con la finalidad de la contratación</t>
        </r>
      </text>
    </comment>
    <comment ref="C4942" authorId="2">
      <text>
        <r>
          <rPr>
            <sz val="11"/>
            <color theme="1"/>
            <rFont val="Calibri"/>
            <family val="2"/>
            <scheme val="minor"/>
          </rPr>
          <t>Seleccionar un valor del listado</t>
        </r>
      </text>
    </comment>
    <comment ref="D4942" authorId="2">
      <text>
        <r>
          <rPr>
            <sz val="11"/>
            <color theme="1"/>
            <rFont val="Calibri"/>
            <family val="2"/>
            <scheme val="minor"/>
          </rPr>
          <t>Seleccione el tipo de procedimiento</t>
        </r>
      </text>
    </comment>
    <comment ref="E4942" authorId="2">
      <text>
        <r>
          <rPr>
            <sz val="11"/>
            <color theme="1"/>
            <rFont val="Calibri"/>
            <family val="2"/>
            <scheme val="minor"/>
          </rPr>
          <t>Seleccione un valor de la lista</t>
        </r>
      </text>
    </comment>
    <comment ref="F4942" authorId="2">
      <text>
        <r>
          <rPr>
            <sz val="11"/>
            <color theme="1"/>
            <rFont val="Calibri"/>
            <family val="2"/>
            <scheme val="minor"/>
          </rPr>
          <t>Introduzca el código SNIP</t>
        </r>
      </text>
    </comment>
    <comment ref="C4943" authorId="2">
      <text>
        <r>
          <rPr>
            <sz val="11"/>
            <color theme="1"/>
            <rFont val="Calibri"/>
            <family val="2"/>
            <scheme val="minor"/>
          </rPr>
          <t>Introduzca la fecha de inicio del proceso, en formato dd-mm-aaaa</t>
        </r>
      </text>
    </comment>
    <comment ref="F49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4" authorId="2">
      <text/>
    </comment>
    <comment ref="C4945" authorId="2">
      <text>
        <r>
          <rPr>
            <sz val="11"/>
            <color theme="1"/>
            <rFont val="Calibri"/>
            <family val="2"/>
            <scheme val="minor"/>
          </rPr>
          <t>Introduzca la fecha prevista de adjudicación, en formato dd-mm-aaaa</t>
        </r>
      </text>
    </comment>
    <comment ref="F4945" authorId="2">
      <text/>
    </comment>
    <comment ref="F4946" authorId="2">
      <text/>
    </comment>
    <comment ref="A4948" authorId="2">
      <text>
        <r>
          <rPr>
            <sz val="11"/>
            <color theme="1"/>
            <rFont val="Calibri"/>
            <family val="2"/>
            <scheme val="minor"/>
          </rPr>
          <t>Introduzca un codigo UNSPSC</t>
        </r>
      </text>
    </comment>
    <comment ref="B4948" authorId="2">
      <text>
        <r>
          <rPr>
            <sz val="11"/>
            <color theme="1"/>
            <rFont val="Calibri"/>
            <family val="2"/>
            <scheme val="minor"/>
          </rPr>
          <t>Descripción calculada automáticamente a partir de código del artículo</t>
        </r>
      </text>
    </comment>
    <comment ref="C4948" authorId="2">
      <text>
        <r>
          <rPr>
            <sz val="11"/>
            <color theme="1"/>
            <rFont val="Calibri"/>
            <family val="2"/>
            <scheme val="minor"/>
          </rPr>
          <t>Seleccione un valor de la lista</t>
        </r>
      </text>
    </comment>
    <comment ref="D4948" authorId="2">
      <text>
        <r>
          <rPr>
            <sz val="11"/>
            <color theme="1"/>
            <rFont val="Calibri"/>
            <family val="2"/>
            <scheme val="minor"/>
          </rPr>
          <t>Introduzca un número con dos decimales como máximo. Debe ser igual o mayor a la "Cantidad Real Consumida"</t>
        </r>
      </text>
    </comment>
    <comment ref="E4948" authorId="2">
      <text>
        <r>
          <rPr>
            <sz val="11"/>
            <color theme="1"/>
            <rFont val="Calibri"/>
            <family val="2"/>
            <scheme val="minor"/>
          </rPr>
          <t>Introduzca un número con dos decimales como máximo</t>
        </r>
      </text>
    </comment>
    <comment ref="F4948" authorId="2">
      <text>
        <r>
          <rPr>
            <sz val="11"/>
            <color theme="1"/>
            <rFont val="Calibri"/>
            <family val="2"/>
            <scheme val="minor"/>
          </rPr>
          <t>Monto calculado automáticamente por el sistema</t>
        </r>
      </text>
    </comment>
    <comment ref="A4953" authorId="2">
      <text>
        <r>
          <rPr>
            <sz val="11"/>
            <color theme="1"/>
            <rFont val="Calibri"/>
            <family val="2"/>
            <scheme val="minor"/>
          </rPr>
          <t>Introducir un texto con el nombre o referencia de la contratación</t>
        </r>
      </text>
    </comment>
    <comment ref="B4953" authorId="2">
      <text>
        <r>
          <rPr>
            <sz val="11"/>
            <color theme="1"/>
            <rFont val="Calibri"/>
            <family val="2"/>
            <scheme val="minor"/>
          </rPr>
          <t>Introduzca un texto con la finalidad de la contratación</t>
        </r>
      </text>
    </comment>
    <comment ref="C4953" authorId="2">
      <text>
        <r>
          <rPr>
            <sz val="11"/>
            <color theme="1"/>
            <rFont val="Calibri"/>
            <family val="2"/>
            <scheme val="minor"/>
          </rPr>
          <t>Seleccionar un valor del listado</t>
        </r>
      </text>
    </comment>
    <comment ref="D4953" authorId="2">
      <text>
        <r>
          <rPr>
            <sz val="11"/>
            <color theme="1"/>
            <rFont val="Calibri"/>
            <family val="2"/>
            <scheme val="minor"/>
          </rPr>
          <t>Seleccione el tipo de procedimiento</t>
        </r>
      </text>
    </comment>
    <comment ref="E4953" authorId="2">
      <text>
        <r>
          <rPr>
            <sz val="11"/>
            <color theme="1"/>
            <rFont val="Calibri"/>
            <family val="2"/>
            <scheme val="minor"/>
          </rPr>
          <t>Seleccione un valor de la lista</t>
        </r>
      </text>
    </comment>
    <comment ref="F4953" authorId="2">
      <text>
        <r>
          <rPr>
            <sz val="11"/>
            <color theme="1"/>
            <rFont val="Calibri"/>
            <family val="2"/>
            <scheme val="minor"/>
          </rPr>
          <t>Introduzca el código SNIP</t>
        </r>
      </text>
    </comment>
    <comment ref="C4954" authorId="2">
      <text>
        <r>
          <rPr>
            <sz val="11"/>
            <color theme="1"/>
            <rFont val="Calibri"/>
            <family val="2"/>
            <scheme val="minor"/>
          </rPr>
          <t>Introduzca la fecha de inicio del proceso, en formato dd-mm-aaaa</t>
        </r>
      </text>
    </comment>
    <comment ref="F49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5" authorId="2">
      <text/>
    </comment>
    <comment ref="C4956" authorId="2">
      <text>
        <r>
          <rPr>
            <sz val="11"/>
            <color theme="1"/>
            <rFont val="Calibri"/>
            <family val="2"/>
            <scheme val="minor"/>
          </rPr>
          <t>Introduzca la fecha prevista de adjudicación, en formato dd-mm-aaaa</t>
        </r>
      </text>
    </comment>
    <comment ref="F4956" authorId="2">
      <text/>
    </comment>
    <comment ref="F4957" authorId="2">
      <text/>
    </comment>
    <comment ref="A4959" authorId="2">
      <text>
        <r>
          <rPr>
            <sz val="11"/>
            <color theme="1"/>
            <rFont val="Calibri"/>
            <family val="2"/>
            <scheme val="minor"/>
          </rPr>
          <t>Introduzca un codigo UNSPSC</t>
        </r>
      </text>
    </comment>
    <comment ref="B4959" authorId="2">
      <text>
        <r>
          <rPr>
            <sz val="11"/>
            <color theme="1"/>
            <rFont val="Calibri"/>
            <family val="2"/>
            <scheme val="minor"/>
          </rPr>
          <t>Descripción calculada automáticamente a partir de código del artículo</t>
        </r>
      </text>
    </comment>
    <comment ref="C4959" authorId="2">
      <text>
        <r>
          <rPr>
            <sz val="11"/>
            <color theme="1"/>
            <rFont val="Calibri"/>
            <family val="2"/>
            <scheme val="minor"/>
          </rPr>
          <t>Seleccione un valor de la lista</t>
        </r>
      </text>
    </comment>
    <comment ref="D4959" authorId="2">
      <text>
        <r>
          <rPr>
            <sz val="11"/>
            <color theme="1"/>
            <rFont val="Calibri"/>
            <family val="2"/>
            <scheme val="minor"/>
          </rPr>
          <t>Introduzca un número con dos decimales como máximo. Debe ser igual o mayor a la "Cantidad Real Consumida"</t>
        </r>
      </text>
    </comment>
    <comment ref="E4959" authorId="2">
      <text>
        <r>
          <rPr>
            <sz val="11"/>
            <color theme="1"/>
            <rFont val="Calibri"/>
            <family val="2"/>
            <scheme val="minor"/>
          </rPr>
          <t>Introduzca un número con dos decimales como máximo</t>
        </r>
      </text>
    </comment>
    <comment ref="F4959" authorId="2">
      <text>
        <r>
          <rPr>
            <sz val="11"/>
            <color theme="1"/>
            <rFont val="Calibri"/>
            <family val="2"/>
            <scheme val="minor"/>
          </rPr>
          <t>Monto calculado automáticamente por el sistema</t>
        </r>
      </text>
    </comment>
    <comment ref="A4964" authorId="2">
      <text>
        <r>
          <rPr>
            <sz val="11"/>
            <color theme="1"/>
            <rFont val="Calibri"/>
            <family val="2"/>
            <scheme val="minor"/>
          </rPr>
          <t>Introducir un texto con el nombre o referencia de la contratación</t>
        </r>
      </text>
    </comment>
    <comment ref="B4964" authorId="2">
      <text>
        <r>
          <rPr>
            <sz val="11"/>
            <color theme="1"/>
            <rFont val="Calibri"/>
            <family val="2"/>
            <scheme val="minor"/>
          </rPr>
          <t>Introduzca un texto con la finalidad de la contratación</t>
        </r>
      </text>
    </comment>
    <comment ref="C4964" authorId="2">
      <text>
        <r>
          <rPr>
            <sz val="11"/>
            <color theme="1"/>
            <rFont val="Calibri"/>
            <family val="2"/>
            <scheme val="minor"/>
          </rPr>
          <t>Seleccionar un valor del listado</t>
        </r>
      </text>
    </comment>
    <comment ref="D4964" authorId="2">
      <text>
        <r>
          <rPr>
            <sz val="11"/>
            <color theme="1"/>
            <rFont val="Calibri"/>
            <family val="2"/>
            <scheme val="minor"/>
          </rPr>
          <t>Seleccione el tipo de procedimiento</t>
        </r>
      </text>
    </comment>
    <comment ref="E4964" authorId="2">
      <text>
        <r>
          <rPr>
            <sz val="11"/>
            <color theme="1"/>
            <rFont val="Calibri"/>
            <family val="2"/>
            <scheme val="minor"/>
          </rPr>
          <t>Seleccione un valor de la lista</t>
        </r>
      </text>
    </comment>
    <comment ref="F4964" authorId="2">
      <text>
        <r>
          <rPr>
            <sz val="11"/>
            <color theme="1"/>
            <rFont val="Calibri"/>
            <family val="2"/>
            <scheme val="minor"/>
          </rPr>
          <t>Introduzca el código SNIP</t>
        </r>
      </text>
    </comment>
    <comment ref="C4965" authorId="2">
      <text>
        <r>
          <rPr>
            <sz val="11"/>
            <color theme="1"/>
            <rFont val="Calibri"/>
            <family val="2"/>
            <scheme val="minor"/>
          </rPr>
          <t>Introduzca la fecha de inicio del proceso, en formato dd-mm-aaaa</t>
        </r>
      </text>
    </comment>
    <comment ref="F49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6" authorId="2">
      <text/>
    </comment>
    <comment ref="C4967" authorId="2">
      <text>
        <r>
          <rPr>
            <sz val="11"/>
            <color theme="1"/>
            <rFont val="Calibri"/>
            <family val="2"/>
            <scheme val="minor"/>
          </rPr>
          <t>Introduzca la fecha prevista de adjudicación, en formato dd-mm-aaaa</t>
        </r>
      </text>
    </comment>
    <comment ref="F4967" authorId="2">
      <text/>
    </comment>
    <comment ref="F4968" authorId="2">
      <text/>
    </comment>
    <comment ref="A4970" authorId="2">
      <text>
        <r>
          <rPr>
            <sz val="11"/>
            <color theme="1"/>
            <rFont val="Calibri"/>
            <family val="2"/>
            <scheme val="minor"/>
          </rPr>
          <t>Introduzca un codigo UNSPSC</t>
        </r>
      </text>
    </comment>
    <comment ref="B4970" authorId="2">
      <text>
        <r>
          <rPr>
            <sz val="11"/>
            <color theme="1"/>
            <rFont val="Calibri"/>
            <family val="2"/>
            <scheme val="minor"/>
          </rPr>
          <t>Descripción calculada automáticamente a partir de código del artículo</t>
        </r>
      </text>
    </comment>
    <comment ref="C4970" authorId="2">
      <text>
        <r>
          <rPr>
            <sz val="11"/>
            <color theme="1"/>
            <rFont val="Calibri"/>
            <family val="2"/>
            <scheme val="minor"/>
          </rPr>
          <t>Seleccione un valor de la lista</t>
        </r>
      </text>
    </comment>
    <comment ref="D4970" authorId="2">
      <text>
        <r>
          <rPr>
            <sz val="11"/>
            <color theme="1"/>
            <rFont val="Calibri"/>
            <family val="2"/>
            <scheme val="minor"/>
          </rPr>
          <t>Introduzca un número con dos decimales como máximo. Debe ser igual o mayor a la "Cantidad Real Consumida"</t>
        </r>
      </text>
    </comment>
    <comment ref="E4970" authorId="2">
      <text>
        <r>
          <rPr>
            <sz val="11"/>
            <color theme="1"/>
            <rFont val="Calibri"/>
            <family val="2"/>
            <scheme val="minor"/>
          </rPr>
          <t>Introduzca un número con dos decimales como máximo</t>
        </r>
      </text>
    </comment>
    <comment ref="F4970" authorId="2">
      <text>
        <r>
          <rPr>
            <sz val="11"/>
            <color theme="1"/>
            <rFont val="Calibri"/>
            <family val="2"/>
            <scheme val="minor"/>
          </rPr>
          <t>Monto calculado automáticamente por el sistema</t>
        </r>
      </text>
    </comment>
    <comment ref="A4988" authorId="2">
      <text>
        <r>
          <rPr>
            <sz val="11"/>
            <color theme="1"/>
            <rFont val="Calibri"/>
            <family val="2"/>
            <scheme val="minor"/>
          </rPr>
          <t>Introducir un texto con el nombre o referencia de la contratación</t>
        </r>
      </text>
    </comment>
    <comment ref="B4988" authorId="2">
      <text>
        <r>
          <rPr>
            <sz val="11"/>
            <color theme="1"/>
            <rFont val="Calibri"/>
            <family val="2"/>
            <scheme val="minor"/>
          </rPr>
          <t>Introduzca un texto con la finalidad de la contratación</t>
        </r>
      </text>
    </comment>
    <comment ref="C4988" authorId="2">
      <text>
        <r>
          <rPr>
            <sz val="11"/>
            <color theme="1"/>
            <rFont val="Calibri"/>
            <family val="2"/>
            <scheme val="minor"/>
          </rPr>
          <t>Seleccionar un valor del listado</t>
        </r>
      </text>
    </comment>
    <comment ref="D4988" authorId="2">
      <text>
        <r>
          <rPr>
            <sz val="11"/>
            <color theme="1"/>
            <rFont val="Calibri"/>
            <family val="2"/>
            <scheme val="minor"/>
          </rPr>
          <t>Seleccione el tipo de procedimiento</t>
        </r>
      </text>
    </comment>
    <comment ref="E4988" authorId="2">
      <text>
        <r>
          <rPr>
            <sz val="11"/>
            <color theme="1"/>
            <rFont val="Calibri"/>
            <family val="2"/>
            <scheme val="minor"/>
          </rPr>
          <t>Seleccione un valor de la lista</t>
        </r>
      </text>
    </comment>
    <comment ref="F4988" authorId="2">
      <text>
        <r>
          <rPr>
            <sz val="11"/>
            <color theme="1"/>
            <rFont val="Calibri"/>
            <family val="2"/>
            <scheme val="minor"/>
          </rPr>
          <t>Introduzca el código SNIP</t>
        </r>
      </text>
    </comment>
    <comment ref="C4989" authorId="2">
      <text>
        <r>
          <rPr>
            <sz val="11"/>
            <color theme="1"/>
            <rFont val="Calibri"/>
            <family val="2"/>
            <scheme val="minor"/>
          </rPr>
          <t>Introduzca la fecha de inicio del proceso, en formato dd-mm-aaaa</t>
        </r>
      </text>
    </comment>
    <comment ref="F49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0" authorId="2">
      <text/>
    </comment>
    <comment ref="C4991" authorId="2">
      <text>
        <r>
          <rPr>
            <sz val="11"/>
            <color theme="1"/>
            <rFont val="Calibri"/>
            <family val="2"/>
            <scheme val="minor"/>
          </rPr>
          <t>Introduzca la fecha prevista de adjudicación, en formato dd-mm-aaaa</t>
        </r>
      </text>
    </comment>
    <comment ref="F4991" authorId="2">
      <text/>
    </comment>
    <comment ref="F4992" authorId="2">
      <text/>
    </comment>
    <comment ref="A4994" authorId="2">
      <text>
        <r>
          <rPr>
            <sz val="11"/>
            <color theme="1"/>
            <rFont val="Calibri"/>
            <family val="2"/>
            <scheme val="minor"/>
          </rPr>
          <t>Introduzca un codigo UNSPSC</t>
        </r>
      </text>
    </comment>
    <comment ref="B4994" authorId="2">
      <text>
        <r>
          <rPr>
            <sz val="11"/>
            <color theme="1"/>
            <rFont val="Calibri"/>
            <family val="2"/>
            <scheme val="minor"/>
          </rPr>
          <t>Descripción calculada automáticamente a partir de código del artículo</t>
        </r>
      </text>
    </comment>
    <comment ref="C4994" authorId="2">
      <text>
        <r>
          <rPr>
            <sz val="11"/>
            <color theme="1"/>
            <rFont val="Calibri"/>
            <family val="2"/>
            <scheme val="minor"/>
          </rPr>
          <t>Seleccione un valor de la lista</t>
        </r>
      </text>
    </comment>
    <comment ref="D4994" authorId="2">
      <text>
        <r>
          <rPr>
            <sz val="11"/>
            <color theme="1"/>
            <rFont val="Calibri"/>
            <family val="2"/>
            <scheme val="minor"/>
          </rPr>
          <t>Introduzca un número con dos decimales como máximo. Debe ser igual o mayor a la "Cantidad Real Consumida"</t>
        </r>
      </text>
    </comment>
    <comment ref="E4994" authorId="2">
      <text>
        <r>
          <rPr>
            <sz val="11"/>
            <color theme="1"/>
            <rFont val="Calibri"/>
            <family val="2"/>
            <scheme val="minor"/>
          </rPr>
          <t>Introduzca un número con dos decimales como máximo</t>
        </r>
      </text>
    </comment>
    <comment ref="F4994" authorId="2">
      <text>
        <r>
          <rPr>
            <sz val="11"/>
            <color theme="1"/>
            <rFont val="Calibri"/>
            <family val="2"/>
            <scheme val="minor"/>
          </rPr>
          <t>Monto calculado automáticamente por el sistema</t>
        </r>
      </text>
    </comment>
    <comment ref="A5002" authorId="2">
      <text>
        <r>
          <rPr>
            <sz val="11"/>
            <color theme="1"/>
            <rFont val="Calibri"/>
            <family val="2"/>
            <scheme val="minor"/>
          </rPr>
          <t>Introducir un texto con el nombre o referencia de la contratación</t>
        </r>
      </text>
    </comment>
    <comment ref="B5002" authorId="2">
      <text>
        <r>
          <rPr>
            <sz val="11"/>
            <color theme="1"/>
            <rFont val="Calibri"/>
            <family val="2"/>
            <scheme val="minor"/>
          </rPr>
          <t>Introduzca un texto con la finalidad de la contratación</t>
        </r>
      </text>
    </comment>
    <comment ref="C5002" authorId="2">
      <text>
        <r>
          <rPr>
            <sz val="11"/>
            <color theme="1"/>
            <rFont val="Calibri"/>
            <family val="2"/>
            <scheme val="minor"/>
          </rPr>
          <t>Seleccionar un valor del listado</t>
        </r>
      </text>
    </comment>
    <comment ref="D5002" authorId="2">
      <text>
        <r>
          <rPr>
            <sz val="11"/>
            <color theme="1"/>
            <rFont val="Calibri"/>
            <family val="2"/>
            <scheme val="minor"/>
          </rPr>
          <t>Seleccione el tipo de procedimiento</t>
        </r>
      </text>
    </comment>
    <comment ref="E5002" authorId="2">
      <text>
        <r>
          <rPr>
            <sz val="11"/>
            <color theme="1"/>
            <rFont val="Calibri"/>
            <family val="2"/>
            <scheme val="minor"/>
          </rPr>
          <t>Seleccione un valor de la lista</t>
        </r>
      </text>
    </comment>
    <comment ref="F5002" authorId="2">
      <text>
        <r>
          <rPr>
            <sz val="11"/>
            <color theme="1"/>
            <rFont val="Calibri"/>
            <family val="2"/>
            <scheme val="minor"/>
          </rPr>
          <t>Introduzca el código SNIP</t>
        </r>
      </text>
    </comment>
    <comment ref="C5003" authorId="2">
      <text>
        <r>
          <rPr>
            <sz val="11"/>
            <color theme="1"/>
            <rFont val="Calibri"/>
            <family val="2"/>
            <scheme val="minor"/>
          </rPr>
          <t>Introduzca la fecha de inicio del proceso, en formato dd-mm-aaaa</t>
        </r>
      </text>
    </comment>
    <comment ref="F500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4" authorId="2">
      <text/>
    </comment>
    <comment ref="C5005" authorId="2">
      <text>
        <r>
          <rPr>
            <sz val="11"/>
            <color theme="1"/>
            <rFont val="Calibri"/>
            <family val="2"/>
            <scheme val="minor"/>
          </rPr>
          <t>Introduzca la fecha prevista de adjudicación, en formato dd-mm-aaaa</t>
        </r>
      </text>
    </comment>
    <comment ref="F5005" authorId="2">
      <text/>
    </comment>
    <comment ref="F5006" authorId="2">
      <text/>
    </comment>
    <comment ref="A5008" authorId="2">
      <text>
        <r>
          <rPr>
            <sz val="11"/>
            <color theme="1"/>
            <rFont val="Calibri"/>
            <family val="2"/>
            <scheme val="minor"/>
          </rPr>
          <t>Introduzca un codigo UNSPSC</t>
        </r>
      </text>
    </comment>
    <comment ref="B5008" authorId="2">
      <text>
        <r>
          <rPr>
            <sz val="11"/>
            <color theme="1"/>
            <rFont val="Calibri"/>
            <family val="2"/>
            <scheme val="minor"/>
          </rPr>
          <t>Descripción calculada automáticamente a partir de código del artículo</t>
        </r>
      </text>
    </comment>
    <comment ref="C5008" authorId="2">
      <text>
        <r>
          <rPr>
            <sz val="11"/>
            <color theme="1"/>
            <rFont val="Calibri"/>
            <family val="2"/>
            <scheme val="minor"/>
          </rPr>
          <t>Seleccione un valor de la lista</t>
        </r>
      </text>
    </comment>
    <comment ref="D5008" authorId="2">
      <text>
        <r>
          <rPr>
            <sz val="11"/>
            <color theme="1"/>
            <rFont val="Calibri"/>
            <family val="2"/>
            <scheme val="minor"/>
          </rPr>
          <t>Introduzca un número con dos decimales como máximo. Debe ser igual o mayor a la "Cantidad Real Consumida"</t>
        </r>
      </text>
    </comment>
    <comment ref="E5008" authorId="2">
      <text>
        <r>
          <rPr>
            <sz val="11"/>
            <color theme="1"/>
            <rFont val="Calibri"/>
            <family val="2"/>
            <scheme val="minor"/>
          </rPr>
          <t>Introduzca un número con dos decimales como máximo</t>
        </r>
      </text>
    </comment>
    <comment ref="F5008" authorId="2">
      <text>
        <r>
          <rPr>
            <sz val="11"/>
            <color theme="1"/>
            <rFont val="Calibri"/>
            <family val="2"/>
            <scheme val="minor"/>
          </rPr>
          <t>Monto calculado automáticamente por el sistema</t>
        </r>
      </text>
    </comment>
    <comment ref="A5026" authorId="2">
      <text>
        <r>
          <rPr>
            <sz val="11"/>
            <color theme="1"/>
            <rFont val="Calibri"/>
            <family val="2"/>
            <scheme val="minor"/>
          </rPr>
          <t>Introducir un texto con el nombre o referencia de la contratación</t>
        </r>
      </text>
    </comment>
    <comment ref="B5026" authorId="2">
      <text>
        <r>
          <rPr>
            <sz val="11"/>
            <color theme="1"/>
            <rFont val="Calibri"/>
            <family val="2"/>
            <scheme val="minor"/>
          </rPr>
          <t>Introduzca un texto con la finalidad de la contratación</t>
        </r>
      </text>
    </comment>
    <comment ref="C5026" authorId="2">
      <text>
        <r>
          <rPr>
            <sz val="11"/>
            <color theme="1"/>
            <rFont val="Calibri"/>
            <family val="2"/>
            <scheme val="minor"/>
          </rPr>
          <t>Seleccionar un valor del listado</t>
        </r>
      </text>
    </comment>
    <comment ref="D5026" authorId="2">
      <text>
        <r>
          <rPr>
            <sz val="11"/>
            <color theme="1"/>
            <rFont val="Calibri"/>
            <family val="2"/>
            <scheme val="minor"/>
          </rPr>
          <t>Seleccione el tipo de procedimiento</t>
        </r>
      </text>
    </comment>
    <comment ref="E5026" authorId="2">
      <text>
        <r>
          <rPr>
            <sz val="11"/>
            <color theme="1"/>
            <rFont val="Calibri"/>
            <family val="2"/>
            <scheme val="minor"/>
          </rPr>
          <t>Seleccione un valor de la lista</t>
        </r>
      </text>
    </comment>
    <comment ref="F5026" authorId="2">
      <text>
        <r>
          <rPr>
            <sz val="11"/>
            <color theme="1"/>
            <rFont val="Calibri"/>
            <family val="2"/>
            <scheme val="minor"/>
          </rPr>
          <t>Introduzca el código SNIP</t>
        </r>
      </text>
    </comment>
    <comment ref="C5027" authorId="2">
      <text>
        <r>
          <rPr>
            <sz val="11"/>
            <color theme="1"/>
            <rFont val="Calibri"/>
            <family val="2"/>
            <scheme val="minor"/>
          </rPr>
          <t>Introduzca la fecha de inicio del proceso, en formato dd-mm-aaaa</t>
        </r>
      </text>
    </comment>
    <comment ref="F50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8" authorId="2">
      <text/>
    </comment>
    <comment ref="C5029" authorId="2">
      <text>
        <r>
          <rPr>
            <sz val="11"/>
            <color theme="1"/>
            <rFont val="Calibri"/>
            <family val="2"/>
            <scheme val="minor"/>
          </rPr>
          <t>Introduzca la fecha prevista de adjudicación, en formato dd-mm-aaaa</t>
        </r>
      </text>
    </comment>
    <comment ref="F5029" authorId="2">
      <text/>
    </comment>
    <comment ref="F5030" authorId="2">
      <text/>
    </comment>
    <comment ref="A5032" authorId="2">
      <text>
        <r>
          <rPr>
            <sz val="11"/>
            <color theme="1"/>
            <rFont val="Calibri"/>
            <family val="2"/>
            <scheme val="minor"/>
          </rPr>
          <t>Introduzca un codigo UNSPSC</t>
        </r>
      </text>
    </comment>
    <comment ref="B5032" authorId="2">
      <text>
        <r>
          <rPr>
            <sz val="11"/>
            <color theme="1"/>
            <rFont val="Calibri"/>
            <family val="2"/>
            <scheme val="minor"/>
          </rPr>
          <t>Descripción calculada automáticamente a partir de código del artículo</t>
        </r>
      </text>
    </comment>
    <comment ref="C5032" authorId="2">
      <text>
        <r>
          <rPr>
            <sz val="11"/>
            <color theme="1"/>
            <rFont val="Calibri"/>
            <family val="2"/>
            <scheme val="minor"/>
          </rPr>
          <t>Seleccione un valor de la lista</t>
        </r>
      </text>
    </comment>
    <comment ref="D5032" authorId="2">
      <text>
        <r>
          <rPr>
            <sz val="11"/>
            <color theme="1"/>
            <rFont val="Calibri"/>
            <family val="2"/>
            <scheme val="minor"/>
          </rPr>
          <t>Introduzca un número con dos decimales como máximo. Debe ser igual o mayor a la "Cantidad Real Consumida"</t>
        </r>
      </text>
    </comment>
    <comment ref="E5032" authorId="2">
      <text>
        <r>
          <rPr>
            <sz val="11"/>
            <color theme="1"/>
            <rFont val="Calibri"/>
            <family val="2"/>
            <scheme val="minor"/>
          </rPr>
          <t>Introduzca un número con dos decimales como máximo</t>
        </r>
      </text>
    </comment>
    <comment ref="F5032" authorId="2">
      <text>
        <r>
          <rPr>
            <sz val="11"/>
            <color theme="1"/>
            <rFont val="Calibri"/>
            <family val="2"/>
            <scheme val="minor"/>
          </rPr>
          <t>Monto calculado automáticamente por el sistema</t>
        </r>
      </text>
    </comment>
    <comment ref="A5038" authorId="2">
      <text>
        <r>
          <rPr>
            <sz val="11"/>
            <color theme="1"/>
            <rFont val="Calibri"/>
            <family val="2"/>
            <scheme val="minor"/>
          </rPr>
          <t>Introducir un texto con el nombre o referencia de la contratación</t>
        </r>
      </text>
    </comment>
    <comment ref="B5038" authorId="2">
      <text>
        <r>
          <rPr>
            <sz val="11"/>
            <color theme="1"/>
            <rFont val="Calibri"/>
            <family val="2"/>
            <scheme val="minor"/>
          </rPr>
          <t>Introduzca un texto con la finalidad de la contratación</t>
        </r>
      </text>
    </comment>
    <comment ref="C5038" authorId="2">
      <text>
        <r>
          <rPr>
            <sz val="11"/>
            <color theme="1"/>
            <rFont val="Calibri"/>
            <family val="2"/>
            <scheme val="minor"/>
          </rPr>
          <t>Seleccionar un valor del listado</t>
        </r>
      </text>
    </comment>
    <comment ref="D5038" authorId="2">
      <text>
        <r>
          <rPr>
            <sz val="11"/>
            <color theme="1"/>
            <rFont val="Calibri"/>
            <family val="2"/>
            <scheme val="minor"/>
          </rPr>
          <t>Seleccione el tipo de procedimiento</t>
        </r>
      </text>
    </comment>
    <comment ref="E5038" authorId="2">
      <text>
        <r>
          <rPr>
            <sz val="11"/>
            <color theme="1"/>
            <rFont val="Calibri"/>
            <family val="2"/>
            <scheme val="minor"/>
          </rPr>
          <t>Seleccione un valor de la lista</t>
        </r>
      </text>
    </comment>
    <comment ref="F5038" authorId="2">
      <text>
        <r>
          <rPr>
            <sz val="11"/>
            <color theme="1"/>
            <rFont val="Calibri"/>
            <family val="2"/>
            <scheme val="minor"/>
          </rPr>
          <t>Introduzca el código SNIP</t>
        </r>
      </text>
    </comment>
    <comment ref="C5039" authorId="2">
      <text>
        <r>
          <rPr>
            <sz val="11"/>
            <color theme="1"/>
            <rFont val="Calibri"/>
            <family val="2"/>
            <scheme val="minor"/>
          </rPr>
          <t>Introduzca la fecha de inicio del proceso, en formato dd-mm-aaaa</t>
        </r>
      </text>
    </comment>
    <comment ref="F50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0" authorId="2">
      <text/>
    </comment>
    <comment ref="C5041" authorId="2">
      <text>
        <r>
          <rPr>
            <sz val="11"/>
            <color theme="1"/>
            <rFont val="Calibri"/>
            <family val="2"/>
            <scheme val="minor"/>
          </rPr>
          <t>Introduzca la fecha prevista de adjudicación, en formato dd-mm-aaaa</t>
        </r>
      </text>
    </comment>
    <comment ref="F5041" authorId="2">
      <text/>
    </comment>
    <comment ref="F5042" authorId="2">
      <text/>
    </comment>
    <comment ref="A5044" authorId="2">
      <text>
        <r>
          <rPr>
            <sz val="11"/>
            <color theme="1"/>
            <rFont val="Calibri"/>
            <family val="2"/>
            <scheme val="minor"/>
          </rPr>
          <t>Introduzca un codigo UNSPSC</t>
        </r>
      </text>
    </comment>
    <comment ref="B5044" authorId="2">
      <text>
        <r>
          <rPr>
            <sz val="11"/>
            <color theme="1"/>
            <rFont val="Calibri"/>
            <family val="2"/>
            <scheme val="minor"/>
          </rPr>
          <t>Descripción calculada automáticamente a partir de código del artículo</t>
        </r>
      </text>
    </comment>
    <comment ref="C5044" authorId="2">
      <text>
        <r>
          <rPr>
            <sz val="11"/>
            <color theme="1"/>
            <rFont val="Calibri"/>
            <family val="2"/>
            <scheme val="minor"/>
          </rPr>
          <t>Seleccione un valor de la lista</t>
        </r>
      </text>
    </comment>
    <comment ref="D5044" authorId="2">
      <text>
        <r>
          <rPr>
            <sz val="11"/>
            <color theme="1"/>
            <rFont val="Calibri"/>
            <family val="2"/>
            <scheme val="minor"/>
          </rPr>
          <t>Introduzca un número con dos decimales como máximo. Debe ser igual o mayor a la "Cantidad Real Consumida"</t>
        </r>
      </text>
    </comment>
    <comment ref="E5044" authorId="2">
      <text>
        <r>
          <rPr>
            <sz val="11"/>
            <color theme="1"/>
            <rFont val="Calibri"/>
            <family val="2"/>
            <scheme val="minor"/>
          </rPr>
          <t>Introduzca un número con dos decimales como máximo</t>
        </r>
      </text>
    </comment>
    <comment ref="F5044" authorId="2">
      <text>
        <r>
          <rPr>
            <sz val="11"/>
            <color theme="1"/>
            <rFont val="Calibri"/>
            <family val="2"/>
            <scheme val="minor"/>
          </rPr>
          <t>Monto calculado automáticamente por el sistema</t>
        </r>
      </text>
    </comment>
    <comment ref="A5062" authorId="2">
      <text>
        <r>
          <rPr>
            <sz val="11"/>
            <color theme="1"/>
            <rFont val="Calibri"/>
            <family val="2"/>
            <scheme val="minor"/>
          </rPr>
          <t>Introducir un texto con el nombre o referencia de la contratación</t>
        </r>
      </text>
    </comment>
    <comment ref="B5062" authorId="2">
      <text>
        <r>
          <rPr>
            <sz val="11"/>
            <color theme="1"/>
            <rFont val="Calibri"/>
            <family val="2"/>
            <scheme val="minor"/>
          </rPr>
          <t>Introduzca un texto con la finalidad de la contratación</t>
        </r>
      </text>
    </comment>
    <comment ref="C5062" authorId="2">
      <text>
        <r>
          <rPr>
            <sz val="11"/>
            <color theme="1"/>
            <rFont val="Calibri"/>
            <family val="2"/>
            <scheme val="minor"/>
          </rPr>
          <t>Seleccionar un valor del listado</t>
        </r>
      </text>
    </comment>
    <comment ref="D5062" authorId="2">
      <text>
        <r>
          <rPr>
            <sz val="11"/>
            <color theme="1"/>
            <rFont val="Calibri"/>
            <family val="2"/>
            <scheme val="minor"/>
          </rPr>
          <t>Seleccione el tipo de procedimiento</t>
        </r>
      </text>
    </comment>
    <comment ref="E5062" authorId="2">
      <text>
        <r>
          <rPr>
            <sz val="11"/>
            <color theme="1"/>
            <rFont val="Calibri"/>
            <family val="2"/>
            <scheme val="minor"/>
          </rPr>
          <t>Seleccione un valor de la lista</t>
        </r>
      </text>
    </comment>
    <comment ref="F5062" authorId="2">
      <text>
        <r>
          <rPr>
            <sz val="11"/>
            <color theme="1"/>
            <rFont val="Calibri"/>
            <family val="2"/>
            <scheme val="minor"/>
          </rPr>
          <t>Introduzca el código SNIP</t>
        </r>
      </text>
    </comment>
    <comment ref="C5063" authorId="2">
      <text>
        <r>
          <rPr>
            <sz val="11"/>
            <color theme="1"/>
            <rFont val="Calibri"/>
            <family val="2"/>
            <scheme val="minor"/>
          </rPr>
          <t>Introduzca la fecha de inicio del proceso, en formato dd-mm-aaaa</t>
        </r>
      </text>
    </comment>
    <comment ref="F50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4" authorId="2">
      <text/>
    </comment>
    <comment ref="C5065" authorId="2">
      <text>
        <r>
          <rPr>
            <sz val="11"/>
            <color theme="1"/>
            <rFont val="Calibri"/>
            <family val="2"/>
            <scheme val="minor"/>
          </rPr>
          <t>Introduzca la fecha prevista de adjudicación, en formato dd-mm-aaaa</t>
        </r>
      </text>
    </comment>
    <comment ref="F5065" authorId="2">
      <text/>
    </comment>
    <comment ref="F5066" authorId="2">
      <text/>
    </comment>
    <comment ref="A5068" authorId="2">
      <text>
        <r>
          <rPr>
            <sz val="11"/>
            <color theme="1"/>
            <rFont val="Calibri"/>
            <family val="2"/>
            <scheme val="minor"/>
          </rPr>
          <t>Introduzca un codigo UNSPSC</t>
        </r>
      </text>
    </comment>
    <comment ref="B5068" authorId="2">
      <text>
        <r>
          <rPr>
            <sz val="11"/>
            <color theme="1"/>
            <rFont val="Calibri"/>
            <family val="2"/>
            <scheme val="minor"/>
          </rPr>
          <t>Descripción calculada automáticamente a partir de código del artículo</t>
        </r>
      </text>
    </comment>
    <comment ref="C5068" authorId="2">
      <text>
        <r>
          <rPr>
            <sz val="11"/>
            <color theme="1"/>
            <rFont val="Calibri"/>
            <family val="2"/>
            <scheme val="minor"/>
          </rPr>
          <t>Seleccione un valor de la lista</t>
        </r>
      </text>
    </comment>
    <comment ref="D5068" authorId="2">
      <text>
        <r>
          <rPr>
            <sz val="11"/>
            <color theme="1"/>
            <rFont val="Calibri"/>
            <family val="2"/>
            <scheme val="minor"/>
          </rPr>
          <t>Introduzca un número con dos decimales como máximo. Debe ser igual o mayor a la "Cantidad Real Consumida"</t>
        </r>
      </text>
    </comment>
    <comment ref="E5068" authorId="2">
      <text>
        <r>
          <rPr>
            <sz val="11"/>
            <color theme="1"/>
            <rFont val="Calibri"/>
            <family val="2"/>
            <scheme val="minor"/>
          </rPr>
          <t>Introduzca un número con dos decimales como máximo</t>
        </r>
      </text>
    </comment>
    <comment ref="F5068" authorId="2">
      <text>
        <r>
          <rPr>
            <sz val="11"/>
            <color theme="1"/>
            <rFont val="Calibri"/>
            <family val="2"/>
            <scheme val="minor"/>
          </rPr>
          <t>Monto calculado automáticamente por el sistema</t>
        </r>
      </text>
    </comment>
    <comment ref="A5080" authorId="2">
      <text>
        <r>
          <rPr>
            <sz val="11"/>
            <color theme="1"/>
            <rFont val="Calibri"/>
            <family val="2"/>
            <scheme val="minor"/>
          </rPr>
          <t>Introducir un texto con el nombre o referencia de la contratación</t>
        </r>
      </text>
    </comment>
    <comment ref="B5080" authorId="2">
      <text>
        <r>
          <rPr>
            <sz val="11"/>
            <color theme="1"/>
            <rFont val="Calibri"/>
            <family val="2"/>
            <scheme val="minor"/>
          </rPr>
          <t>Introduzca un texto con la finalidad de la contratación</t>
        </r>
      </text>
    </comment>
    <comment ref="C5080" authorId="2">
      <text>
        <r>
          <rPr>
            <sz val="11"/>
            <color theme="1"/>
            <rFont val="Calibri"/>
            <family val="2"/>
            <scheme val="minor"/>
          </rPr>
          <t>Seleccionar un valor del listado</t>
        </r>
      </text>
    </comment>
    <comment ref="D5080" authorId="2">
      <text>
        <r>
          <rPr>
            <sz val="11"/>
            <color theme="1"/>
            <rFont val="Calibri"/>
            <family val="2"/>
            <scheme val="minor"/>
          </rPr>
          <t>Seleccione el tipo de procedimiento</t>
        </r>
      </text>
    </comment>
    <comment ref="E5080" authorId="2">
      <text>
        <r>
          <rPr>
            <sz val="11"/>
            <color theme="1"/>
            <rFont val="Calibri"/>
            <family val="2"/>
            <scheme val="minor"/>
          </rPr>
          <t>Seleccione un valor de la lista</t>
        </r>
      </text>
    </comment>
    <comment ref="F5080" authorId="2">
      <text>
        <r>
          <rPr>
            <sz val="11"/>
            <color theme="1"/>
            <rFont val="Calibri"/>
            <family val="2"/>
            <scheme val="minor"/>
          </rPr>
          <t>Introduzca el código SNIP</t>
        </r>
      </text>
    </comment>
    <comment ref="C5081" authorId="2">
      <text>
        <r>
          <rPr>
            <sz val="11"/>
            <color theme="1"/>
            <rFont val="Calibri"/>
            <family val="2"/>
            <scheme val="minor"/>
          </rPr>
          <t>Introduzca la fecha de inicio del proceso, en formato dd-mm-aaaa</t>
        </r>
      </text>
    </comment>
    <comment ref="F50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2" authorId="2">
      <text/>
    </comment>
    <comment ref="C5083" authorId="2">
      <text>
        <r>
          <rPr>
            <sz val="11"/>
            <color theme="1"/>
            <rFont val="Calibri"/>
            <family val="2"/>
            <scheme val="minor"/>
          </rPr>
          <t>Introduzca la fecha prevista de adjudicación, en formato dd-mm-aaaa</t>
        </r>
      </text>
    </comment>
    <comment ref="F5083" authorId="2">
      <text/>
    </comment>
    <comment ref="F5084" authorId="2">
      <text/>
    </comment>
    <comment ref="A5086" authorId="2">
      <text>
        <r>
          <rPr>
            <sz val="11"/>
            <color theme="1"/>
            <rFont val="Calibri"/>
            <family val="2"/>
            <scheme val="minor"/>
          </rPr>
          <t>Introduzca un codigo UNSPSC</t>
        </r>
      </text>
    </comment>
    <comment ref="B5086" authorId="2">
      <text>
        <r>
          <rPr>
            <sz val="11"/>
            <color theme="1"/>
            <rFont val="Calibri"/>
            <family val="2"/>
            <scheme val="minor"/>
          </rPr>
          <t>Descripción calculada automáticamente a partir de código del artículo</t>
        </r>
      </text>
    </comment>
    <comment ref="C5086" authorId="2">
      <text>
        <r>
          <rPr>
            <sz val="11"/>
            <color theme="1"/>
            <rFont val="Calibri"/>
            <family val="2"/>
            <scheme val="minor"/>
          </rPr>
          <t>Seleccione un valor de la lista</t>
        </r>
      </text>
    </comment>
    <comment ref="D5086" authorId="2">
      <text>
        <r>
          <rPr>
            <sz val="11"/>
            <color theme="1"/>
            <rFont val="Calibri"/>
            <family val="2"/>
            <scheme val="minor"/>
          </rPr>
          <t>Introduzca un número con dos decimales como máximo. Debe ser igual o mayor a la "Cantidad Real Consumida"</t>
        </r>
      </text>
    </comment>
    <comment ref="E5086" authorId="2">
      <text>
        <r>
          <rPr>
            <sz val="11"/>
            <color theme="1"/>
            <rFont val="Calibri"/>
            <family val="2"/>
            <scheme val="minor"/>
          </rPr>
          <t>Introduzca un número con dos decimales como máximo</t>
        </r>
      </text>
    </comment>
    <comment ref="F5086" authorId="2">
      <text>
        <r>
          <rPr>
            <sz val="11"/>
            <color theme="1"/>
            <rFont val="Calibri"/>
            <family val="2"/>
            <scheme val="minor"/>
          </rPr>
          <t>Monto calculado automáticamente por el sistema</t>
        </r>
      </text>
    </comment>
    <comment ref="A5104" authorId="2">
      <text>
        <r>
          <rPr>
            <sz val="11"/>
            <color theme="1"/>
            <rFont val="Calibri"/>
            <family val="2"/>
            <scheme val="minor"/>
          </rPr>
          <t>Introducir un texto con el nombre o referencia de la contratación</t>
        </r>
      </text>
    </comment>
    <comment ref="B5104" authorId="2">
      <text>
        <r>
          <rPr>
            <sz val="11"/>
            <color theme="1"/>
            <rFont val="Calibri"/>
            <family val="2"/>
            <scheme val="minor"/>
          </rPr>
          <t>Introduzca un texto con la finalidad de la contratación</t>
        </r>
      </text>
    </comment>
    <comment ref="C5104" authorId="2">
      <text>
        <r>
          <rPr>
            <sz val="11"/>
            <color theme="1"/>
            <rFont val="Calibri"/>
            <family val="2"/>
            <scheme val="minor"/>
          </rPr>
          <t>Seleccionar un valor del listado</t>
        </r>
      </text>
    </comment>
    <comment ref="D5104" authorId="2">
      <text>
        <r>
          <rPr>
            <sz val="11"/>
            <color theme="1"/>
            <rFont val="Calibri"/>
            <family val="2"/>
            <scheme val="minor"/>
          </rPr>
          <t>Seleccione el tipo de procedimiento</t>
        </r>
      </text>
    </comment>
    <comment ref="E5104" authorId="2">
      <text>
        <r>
          <rPr>
            <sz val="11"/>
            <color theme="1"/>
            <rFont val="Calibri"/>
            <family val="2"/>
            <scheme val="minor"/>
          </rPr>
          <t>Seleccione un valor de la lista</t>
        </r>
      </text>
    </comment>
    <comment ref="F5104" authorId="2">
      <text>
        <r>
          <rPr>
            <sz val="11"/>
            <color theme="1"/>
            <rFont val="Calibri"/>
            <family val="2"/>
            <scheme val="minor"/>
          </rPr>
          <t>Introduzca el código SNIP</t>
        </r>
      </text>
    </comment>
    <comment ref="C5105" authorId="2">
      <text>
        <r>
          <rPr>
            <sz val="11"/>
            <color theme="1"/>
            <rFont val="Calibri"/>
            <family val="2"/>
            <scheme val="minor"/>
          </rPr>
          <t>Introduzca la fecha de inicio del proceso, en formato dd-mm-aaaa</t>
        </r>
      </text>
    </comment>
    <comment ref="F51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6" authorId="2">
      <text/>
    </comment>
    <comment ref="C5107" authorId="2">
      <text>
        <r>
          <rPr>
            <sz val="11"/>
            <color theme="1"/>
            <rFont val="Calibri"/>
            <family val="2"/>
            <scheme val="minor"/>
          </rPr>
          <t>Introduzca la fecha prevista de adjudicación, en formato dd-mm-aaaa</t>
        </r>
      </text>
    </comment>
    <comment ref="F5107" authorId="2">
      <text/>
    </comment>
    <comment ref="F5108" authorId="2">
      <text/>
    </comment>
    <comment ref="A5110" authorId="2">
      <text>
        <r>
          <rPr>
            <sz val="11"/>
            <color theme="1"/>
            <rFont val="Calibri"/>
            <family val="2"/>
            <scheme val="minor"/>
          </rPr>
          <t>Introduzca un codigo UNSPSC</t>
        </r>
      </text>
    </comment>
    <comment ref="B5110" authorId="2">
      <text>
        <r>
          <rPr>
            <sz val="11"/>
            <color theme="1"/>
            <rFont val="Calibri"/>
            <family val="2"/>
            <scheme val="minor"/>
          </rPr>
          <t>Descripción calculada automáticamente a partir de código del artículo</t>
        </r>
      </text>
    </comment>
    <comment ref="C5110" authorId="2">
      <text>
        <r>
          <rPr>
            <sz val="11"/>
            <color theme="1"/>
            <rFont val="Calibri"/>
            <family val="2"/>
            <scheme val="minor"/>
          </rPr>
          <t>Seleccione un valor de la lista</t>
        </r>
      </text>
    </comment>
    <comment ref="D5110" authorId="2">
      <text>
        <r>
          <rPr>
            <sz val="11"/>
            <color theme="1"/>
            <rFont val="Calibri"/>
            <family val="2"/>
            <scheme val="minor"/>
          </rPr>
          <t>Introduzca un número con dos decimales como máximo. Debe ser igual o mayor a la "Cantidad Real Consumida"</t>
        </r>
      </text>
    </comment>
    <comment ref="E5110" authorId="2">
      <text>
        <r>
          <rPr>
            <sz val="11"/>
            <color theme="1"/>
            <rFont val="Calibri"/>
            <family val="2"/>
            <scheme val="minor"/>
          </rPr>
          <t>Introduzca un número con dos decimales como máximo</t>
        </r>
      </text>
    </comment>
    <comment ref="F5110" authorId="2">
      <text>
        <r>
          <rPr>
            <sz val="11"/>
            <color theme="1"/>
            <rFont val="Calibri"/>
            <family val="2"/>
            <scheme val="minor"/>
          </rPr>
          <t>Monto calculado automáticamente por el sistema</t>
        </r>
      </text>
    </comment>
    <comment ref="A5125" authorId="2">
      <text>
        <r>
          <rPr>
            <sz val="11"/>
            <color theme="1"/>
            <rFont val="Calibri"/>
            <family val="2"/>
            <scheme val="minor"/>
          </rPr>
          <t>Introducir un texto con el nombre o referencia de la contratación</t>
        </r>
      </text>
    </comment>
    <comment ref="B5125" authorId="2">
      <text>
        <r>
          <rPr>
            <sz val="11"/>
            <color theme="1"/>
            <rFont val="Calibri"/>
            <family val="2"/>
            <scheme val="minor"/>
          </rPr>
          <t>Introduzca un texto con la finalidad de la contratación</t>
        </r>
      </text>
    </comment>
    <comment ref="C5125" authorId="2">
      <text>
        <r>
          <rPr>
            <sz val="11"/>
            <color theme="1"/>
            <rFont val="Calibri"/>
            <family val="2"/>
            <scheme val="minor"/>
          </rPr>
          <t>Seleccionar un valor del listado</t>
        </r>
      </text>
    </comment>
    <comment ref="D5125" authorId="2">
      <text>
        <r>
          <rPr>
            <sz val="11"/>
            <color theme="1"/>
            <rFont val="Calibri"/>
            <family val="2"/>
            <scheme val="minor"/>
          </rPr>
          <t>Seleccione el tipo de procedimiento</t>
        </r>
      </text>
    </comment>
    <comment ref="E5125" authorId="2">
      <text>
        <r>
          <rPr>
            <sz val="11"/>
            <color theme="1"/>
            <rFont val="Calibri"/>
            <family val="2"/>
            <scheme val="minor"/>
          </rPr>
          <t>Seleccione un valor de la lista</t>
        </r>
      </text>
    </comment>
    <comment ref="F5125" authorId="2">
      <text>
        <r>
          <rPr>
            <sz val="11"/>
            <color theme="1"/>
            <rFont val="Calibri"/>
            <family val="2"/>
            <scheme val="minor"/>
          </rPr>
          <t>Introduzca el código SNIP</t>
        </r>
      </text>
    </comment>
    <comment ref="C5126" authorId="2">
      <text>
        <r>
          <rPr>
            <sz val="11"/>
            <color theme="1"/>
            <rFont val="Calibri"/>
            <family val="2"/>
            <scheme val="minor"/>
          </rPr>
          <t>Introduzca la fecha de inicio del proceso, en formato dd-mm-aaaa</t>
        </r>
      </text>
    </comment>
    <comment ref="F51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7" authorId="2">
      <text/>
    </comment>
    <comment ref="C5128" authorId="2">
      <text>
        <r>
          <rPr>
            <sz val="11"/>
            <color theme="1"/>
            <rFont val="Calibri"/>
            <family val="2"/>
            <scheme val="minor"/>
          </rPr>
          <t>Introduzca la fecha prevista de adjudicación, en formato dd-mm-aaaa</t>
        </r>
      </text>
    </comment>
    <comment ref="F5128" authorId="2">
      <text/>
    </comment>
    <comment ref="F5129" authorId="2">
      <text/>
    </comment>
    <comment ref="A5131" authorId="2">
      <text>
        <r>
          <rPr>
            <sz val="11"/>
            <color theme="1"/>
            <rFont val="Calibri"/>
            <family val="2"/>
            <scheme val="minor"/>
          </rPr>
          <t>Introduzca un codigo UNSPSC</t>
        </r>
      </text>
    </comment>
    <comment ref="B5131" authorId="2">
      <text>
        <r>
          <rPr>
            <sz val="11"/>
            <color theme="1"/>
            <rFont val="Calibri"/>
            <family val="2"/>
            <scheme val="minor"/>
          </rPr>
          <t>Descripción calculada automáticamente a partir de código del artículo</t>
        </r>
      </text>
    </comment>
    <comment ref="C5131" authorId="2">
      <text>
        <r>
          <rPr>
            <sz val="11"/>
            <color theme="1"/>
            <rFont val="Calibri"/>
            <family val="2"/>
            <scheme val="minor"/>
          </rPr>
          <t>Seleccione un valor de la lista</t>
        </r>
      </text>
    </comment>
    <comment ref="D5131" authorId="2">
      <text>
        <r>
          <rPr>
            <sz val="11"/>
            <color theme="1"/>
            <rFont val="Calibri"/>
            <family val="2"/>
            <scheme val="minor"/>
          </rPr>
          <t>Introduzca un número con dos decimales como máximo. Debe ser igual o mayor a la "Cantidad Real Consumida"</t>
        </r>
      </text>
    </comment>
    <comment ref="E5131" authorId="2">
      <text>
        <r>
          <rPr>
            <sz val="11"/>
            <color theme="1"/>
            <rFont val="Calibri"/>
            <family val="2"/>
            <scheme val="minor"/>
          </rPr>
          <t>Introduzca un número con dos decimales como máximo</t>
        </r>
      </text>
    </comment>
    <comment ref="F5131" authorId="2">
      <text>
        <r>
          <rPr>
            <sz val="11"/>
            <color theme="1"/>
            <rFont val="Calibri"/>
            <family val="2"/>
            <scheme val="minor"/>
          </rPr>
          <t>Monto calculado automáticamente por el sistema</t>
        </r>
      </text>
    </comment>
    <comment ref="A5136" authorId="2">
      <text>
        <r>
          <rPr>
            <sz val="11"/>
            <color theme="1"/>
            <rFont val="Calibri"/>
            <family val="2"/>
            <scheme val="minor"/>
          </rPr>
          <t>Introducir un texto con el nombre o referencia de la contratación</t>
        </r>
      </text>
    </comment>
    <comment ref="B5136" authorId="2">
      <text>
        <r>
          <rPr>
            <sz val="11"/>
            <color theme="1"/>
            <rFont val="Calibri"/>
            <family val="2"/>
            <scheme val="minor"/>
          </rPr>
          <t>Introduzca un texto con la finalidad de la contratación</t>
        </r>
      </text>
    </comment>
    <comment ref="C5136" authorId="2">
      <text>
        <r>
          <rPr>
            <sz val="11"/>
            <color theme="1"/>
            <rFont val="Calibri"/>
            <family val="2"/>
            <scheme val="minor"/>
          </rPr>
          <t>Seleccionar un valor del listado</t>
        </r>
      </text>
    </comment>
    <comment ref="D5136" authorId="2">
      <text>
        <r>
          <rPr>
            <sz val="11"/>
            <color theme="1"/>
            <rFont val="Calibri"/>
            <family val="2"/>
            <scheme val="minor"/>
          </rPr>
          <t>Seleccione el tipo de procedimiento</t>
        </r>
      </text>
    </comment>
    <comment ref="E5136" authorId="2">
      <text>
        <r>
          <rPr>
            <sz val="11"/>
            <color theme="1"/>
            <rFont val="Calibri"/>
            <family val="2"/>
            <scheme val="minor"/>
          </rPr>
          <t>Seleccione un valor de la lista</t>
        </r>
      </text>
    </comment>
    <comment ref="F5136" authorId="2">
      <text>
        <r>
          <rPr>
            <sz val="11"/>
            <color theme="1"/>
            <rFont val="Calibri"/>
            <family val="2"/>
            <scheme val="minor"/>
          </rPr>
          <t>Introduzca el código SNIP</t>
        </r>
      </text>
    </comment>
    <comment ref="C5137" authorId="2">
      <text>
        <r>
          <rPr>
            <sz val="11"/>
            <color theme="1"/>
            <rFont val="Calibri"/>
            <family val="2"/>
            <scheme val="minor"/>
          </rPr>
          <t>Introduzca la fecha de inicio del proceso, en formato dd-mm-aaaa</t>
        </r>
      </text>
    </comment>
    <comment ref="F51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8" authorId="2">
      <text/>
    </comment>
    <comment ref="C5139" authorId="2">
      <text>
        <r>
          <rPr>
            <sz val="11"/>
            <color theme="1"/>
            <rFont val="Calibri"/>
            <family val="2"/>
            <scheme val="minor"/>
          </rPr>
          <t>Introduzca la fecha prevista de adjudicación, en formato dd-mm-aaaa</t>
        </r>
      </text>
    </comment>
    <comment ref="F5139" authorId="2">
      <text/>
    </comment>
    <comment ref="F5140" authorId="2">
      <text/>
    </comment>
    <comment ref="A5142" authorId="2">
      <text>
        <r>
          <rPr>
            <sz val="11"/>
            <color theme="1"/>
            <rFont val="Calibri"/>
            <family val="2"/>
            <scheme val="minor"/>
          </rPr>
          <t>Introduzca un codigo UNSPSC</t>
        </r>
      </text>
    </comment>
    <comment ref="B5142" authorId="2">
      <text>
        <r>
          <rPr>
            <sz val="11"/>
            <color theme="1"/>
            <rFont val="Calibri"/>
            <family val="2"/>
            <scheme val="minor"/>
          </rPr>
          <t>Descripción calculada automáticamente a partir de código del artículo</t>
        </r>
      </text>
    </comment>
    <comment ref="C5142" authorId="2">
      <text>
        <r>
          <rPr>
            <sz val="11"/>
            <color theme="1"/>
            <rFont val="Calibri"/>
            <family val="2"/>
            <scheme val="minor"/>
          </rPr>
          <t>Seleccione un valor de la lista</t>
        </r>
      </text>
    </comment>
    <comment ref="D5142" authorId="2">
      <text>
        <r>
          <rPr>
            <sz val="11"/>
            <color theme="1"/>
            <rFont val="Calibri"/>
            <family val="2"/>
            <scheme val="minor"/>
          </rPr>
          <t>Introduzca un número con dos decimales como máximo. Debe ser igual o mayor a la "Cantidad Real Consumida"</t>
        </r>
      </text>
    </comment>
    <comment ref="E5142" authorId="2">
      <text>
        <r>
          <rPr>
            <sz val="11"/>
            <color theme="1"/>
            <rFont val="Calibri"/>
            <family val="2"/>
            <scheme val="minor"/>
          </rPr>
          <t>Introduzca un número con dos decimales como máximo</t>
        </r>
      </text>
    </comment>
    <comment ref="F5142" authorId="2">
      <text>
        <r>
          <rPr>
            <sz val="11"/>
            <color theme="1"/>
            <rFont val="Calibri"/>
            <family val="2"/>
            <scheme val="minor"/>
          </rPr>
          <t>Monto calculado automáticamente por el sistema</t>
        </r>
      </text>
    </comment>
    <comment ref="A5157" authorId="2">
      <text>
        <r>
          <rPr>
            <sz val="11"/>
            <color theme="1"/>
            <rFont val="Calibri"/>
            <family val="2"/>
            <scheme val="minor"/>
          </rPr>
          <t>Introducir un texto con el nombre o referencia de la contratación</t>
        </r>
      </text>
    </comment>
    <comment ref="B5157" authorId="2">
      <text>
        <r>
          <rPr>
            <sz val="11"/>
            <color theme="1"/>
            <rFont val="Calibri"/>
            <family val="2"/>
            <scheme val="minor"/>
          </rPr>
          <t>Introduzca un texto con la finalidad de la contratación</t>
        </r>
      </text>
    </comment>
    <comment ref="C5157" authorId="2">
      <text>
        <r>
          <rPr>
            <sz val="11"/>
            <color theme="1"/>
            <rFont val="Calibri"/>
            <family val="2"/>
            <scheme val="minor"/>
          </rPr>
          <t>Seleccionar un valor del listado</t>
        </r>
      </text>
    </comment>
    <comment ref="D5157" authorId="2">
      <text>
        <r>
          <rPr>
            <sz val="11"/>
            <color theme="1"/>
            <rFont val="Calibri"/>
            <family val="2"/>
            <scheme val="minor"/>
          </rPr>
          <t>Seleccione el tipo de procedimiento</t>
        </r>
      </text>
    </comment>
    <comment ref="E5157" authorId="2">
      <text>
        <r>
          <rPr>
            <sz val="11"/>
            <color theme="1"/>
            <rFont val="Calibri"/>
            <family val="2"/>
            <scheme val="minor"/>
          </rPr>
          <t>Seleccione un valor de la lista</t>
        </r>
      </text>
    </comment>
    <comment ref="F5157" authorId="2">
      <text>
        <r>
          <rPr>
            <sz val="11"/>
            <color theme="1"/>
            <rFont val="Calibri"/>
            <family val="2"/>
            <scheme val="minor"/>
          </rPr>
          <t>Introduzca el código SNIP</t>
        </r>
      </text>
    </comment>
    <comment ref="C5158" authorId="2">
      <text>
        <r>
          <rPr>
            <sz val="11"/>
            <color theme="1"/>
            <rFont val="Calibri"/>
            <family val="2"/>
            <scheme val="minor"/>
          </rPr>
          <t>Introduzca la fecha de inicio del proceso, en formato dd-mm-aaaa</t>
        </r>
      </text>
    </comment>
    <comment ref="F51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9" authorId="2">
      <text/>
    </comment>
    <comment ref="C5160" authorId="2">
      <text>
        <r>
          <rPr>
            <sz val="11"/>
            <color theme="1"/>
            <rFont val="Calibri"/>
            <family val="2"/>
            <scheme val="minor"/>
          </rPr>
          <t>Introduzca la fecha prevista de adjudicación, en formato dd-mm-aaaa</t>
        </r>
      </text>
    </comment>
    <comment ref="F5160" authorId="2">
      <text/>
    </comment>
    <comment ref="F5161" authorId="2">
      <text/>
    </comment>
    <comment ref="A5163" authorId="2">
      <text>
        <r>
          <rPr>
            <sz val="11"/>
            <color theme="1"/>
            <rFont val="Calibri"/>
            <family val="2"/>
            <scheme val="minor"/>
          </rPr>
          <t>Introduzca un codigo UNSPSC</t>
        </r>
      </text>
    </comment>
    <comment ref="B5163" authorId="2">
      <text>
        <r>
          <rPr>
            <sz val="11"/>
            <color theme="1"/>
            <rFont val="Calibri"/>
            <family val="2"/>
            <scheme val="minor"/>
          </rPr>
          <t>Descripción calculada automáticamente a partir de código del artículo</t>
        </r>
      </text>
    </comment>
    <comment ref="C5163" authorId="2">
      <text>
        <r>
          <rPr>
            <sz val="11"/>
            <color theme="1"/>
            <rFont val="Calibri"/>
            <family val="2"/>
            <scheme val="minor"/>
          </rPr>
          <t>Seleccione un valor de la lista</t>
        </r>
      </text>
    </comment>
    <comment ref="D5163" authorId="2">
      <text>
        <r>
          <rPr>
            <sz val="11"/>
            <color theme="1"/>
            <rFont val="Calibri"/>
            <family val="2"/>
            <scheme val="minor"/>
          </rPr>
          <t>Introduzca un número con dos decimales como máximo. Debe ser igual o mayor a la "Cantidad Real Consumida"</t>
        </r>
      </text>
    </comment>
    <comment ref="E5163" authorId="2">
      <text>
        <r>
          <rPr>
            <sz val="11"/>
            <color theme="1"/>
            <rFont val="Calibri"/>
            <family val="2"/>
            <scheme val="minor"/>
          </rPr>
          <t>Introduzca un número con dos decimales como máximo</t>
        </r>
      </text>
    </comment>
    <comment ref="F5163" authorId="2">
      <text>
        <r>
          <rPr>
            <sz val="11"/>
            <color theme="1"/>
            <rFont val="Calibri"/>
            <family val="2"/>
            <scheme val="minor"/>
          </rPr>
          <t>Monto calculado automáticamente por el sistema</t>
        </r>
      </text>
    </comment>
    <comment ref="A5181" authorId="2">
      <text>
        <r>
          <rPr>
            <sz val="11"/>
            <color theme="1"/>
            <rFont val="Calibri"/>
            <family val="2"/>
            <scheme val="minor"/>
          </rPr>
          <t>Introducir un texto con el nombre o referencia de la contratación</t>
        </r>
      </text>
    </comment>
    <comment ref="B5181" authorId="2">
      <text>
        <r>
          <rPr>
            <sz val="11"/>
            <color theme="1"/>
            <rFont val="Calibri"/>
            <family val="2"/>
            <scheme val="minor"/>
          </rPr>
          <t>Introduzca un texto con la finalidad de la contratación</t>
        </r>
      </text>
    </comment>
    <comment ref="C5181" authorId="2">
      <text>
        <r>
          <rPr>
            <sz val="11"/>
            <color theme="1"/>
            <rFont val="Calibri"/>
            <family val="2"/>
            <scheme val="minor"/>
          </rPr>
          <t>Seleccionar un valor del listado</t>
        </r>
      </text>
    </comment>
    <comment ref="D5181" authorId="2">
      <text>
        <r>
          <rPr>
            <sz val="11"/>
            <color theme="1"/>
            <rFont val="Calibri"/>
            <family val="2"/>
            <scheme val="minor"/>
          </rPr>
          <t>Seleccione el tipo de procedimiento</t>
        </r>
      </text>
    </comment>
    <comment ref="E5181" authorId="2">
      <text>
        <r>
          <rPr>
            <sz val="11"/>
            <color theme="1"/>
            <rFont val="Calibri"/>
            <family val="2"/>
            <scheme val="minor"/>
          </rPr>
          <t>Seleccione un valor de la lista</t>
        </r>
      </text>
    </comment>
    <comment ref="F5181" authorId="2">
      <text>
        <r>
          <rPr>
            <sz val="11"/>
            <color theme="1"/>
            <rFont val="Calibri"/>
            <family val="2"/>
            <scheme val="minor"/>
          </rPr>
          <t>Introduzca el código SNIP</t>
        </r>
      </text>
    </comment>
    <comment ref="C5182" authorId="2">
      <text>
        <r>
          <rPr>
            <sz val="11"/>
            <color theme="1"/>
            <rFont val="Calibri"/>
            <family val="2"/>
            <scheme val="minor"/>
          </rPr>
          <t>Introduzca la fecha de inicio del proceso, en formato dd-mm-aaaa</t>
        </r>
      </text>
    </comment>
    <comment ref="F51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3" authorId="2">
      <text/>
    </comment>
    <comment ref="C5184" authorId="2">
      <text>
        <r>
          <rPr>
            <sz val="11"/>
            <color theme="1"/>
            <rFont val="Calibri"/>
            <family val="2"/>
            <scheme val="minor"/>
          </rPr>
          <t>Introduzca la fecha prevista de adjudicación, en formato dd-mm-aaaa</t>
        </r>
      </text>
    </comment>
    <comment ref="F5184" authorId="2">
      <text/>
    </comment>
    <comment ref="F5185" authorId="2">
      <text/>
    </comment>
    <comment ref="A5187" authorId="2">
      <text>
        <r>
          <rPr>
            <sz val="11"/>
            <color theme="1"/>
            <rFont val="Calibri"/>
            <family val="2"/>
            <scheme val="minor"/>
          </rPr>
          <t>Introduzca un codigo UNSPSC</t>
        </r>
      </text>
    </comment>
    <comment ref="B5187" authorId="2">
      <text>
        <r>
          <rPr>
            <sz val="11"/>
            <color theme="1"/>
            <rFont val="Calibri"/>
            <family val="2"/>
            <scheme val="minor"/>
          </rPr>
          <t>Descripción calculada automáticamente a partir de código del artículo</t>
        </r>
      </text>
    </comment>
    <comment ref="C5187" authorId="2">
      <text>
        <r>
          <rPr>
            <sz val="11"/>
            <color theme="1"/>
            <rFont val="Calibri"/>
            <family val="2"/>
            <scheme val="minor"/>
          </rPr>
          <t>Seleccione un valor de la lista</t>
        </r>
      </text>
    </comment>
    <comment ref="D5187" authorId="2">
      <text>
        <r>
          <rPr>
            <sz val="11"/>
            <color theme="1"/>
            <rFont val="Calibri"/>
            <family val="2"/>
            <scheme val="minor"/>
          </rPr>
          <t>Introduzca un número con dos decimales como máximo. Debe ser igual o mayor a la "Cantidad Real Consumida"</t>
        </r>
      </text>
    </comment>
    <comment ref="E5187" authorId="2">
      <text>
        <r>
          <rPr>
            <sz val="11"/>
            <color theme="1"/>
            <rFont val="Calibri"/>
            <family val="2"/>
            <scheme val="minor"/>
          </rPr>
          <t>Introduzca un número con dos decimales como máximo</t>
        </r>
      </text>
    </comment>
    <comment ref="F5187" authorId="2">
      <text>
        <r>
          <rPr>
            <sz val="11"/>
            <color theme="1"/>
            <rFont val="Calibri"/>
            <family val="2"/>
            <scheme val="minor"/>
          </rPr>
          <t>Monto calculado automáticamente por el sistema</t>
        </r>
      </text>
    </comment>
    <comment ref="A5192" authorId="2">
      <text>
        <r>
          <rPr>
            <sz val="11"/>
            <color theme="1"/>
            <rFont val="Calibri"/>
            <family val="2"/>
            <scheme val="minor"/>
          </rPr>
          <t>Introducir un texto con el nombre o referencia de la contratación</t>
        </r>
      </text>
    </comment>
    <comment ref="B5192" authorId="2">
      <text>
        <r>
          <rPr>
            <sz val="11"/>
            <color theme="1"/>
            <rFont val="Calibri"/>
            <family val="2"/>
            <scheme val="minor"/>
          </rPr>
          <t>Introduzca un texto con la finalidad de la contratación</t>
        </r>
      </text>
    </comment>
    <comment ref="C5192" authorId="2">
      <text>
        <r>
          <rPr>
            <sz val="11"/>
            <color theme="1"/>
            <rFont val="Calibri"/>
            <family val="2"/>
            <scheme val="minor"/>
          </rPr>
          <t>Seleccionar un valor del listado</t>
        </r>
      </text>
    </comment>
    <comment ref="D5192" authorId="2">
      <text>
        <r>
          <rPr>
            <sz val="11"/>
            <color theme="1"/>
            <rFont val="Calibri"/>
            <family val="2"/>
            <scheme val="minor"/>
          </rPr>
          <t>Seleccione el tipo de procedimiento</t>
        </r>
      </text>
    </comment>
    <comment ref="E5192" authorId="2">
      <text>
        <r>
          <rPr>
            <sz val="11"/>
            <color theme="1"/>
            <rFont val="Calibri"/>
            <family val="2"/>
            <scheme val="minor"/>
          </rPr>
          <t>Seleccione un valor de la lista</t>
        </r>
      </text>
    </comment>
    <comment ref="F5192" authorId="2">
      <text>
        <r>
          <rPr>
            <sz val="11"/>
            <color theme="1"/>
            <rFont val="Calibri"/>
            <family val="2"/>
            <scheme val="minor"/>
          </rPr>
          <t>Introduzca el código SNIP</t>
        </r>
      </text>
    </comment>
    <comment ref="C5193" authorId="2">
      <text>
        <r>
          <rPr>
            <sz val="11"/>
            <color theme="1"/>
            <rFont val="Calibri"/>
            <family val="2"/>
            <scheme val="minor"/>
          </rPr>
          <t>Introduzca la fecha de inicio del proceso, en formato dd-mm-aaaa</t>
        </r>
      </text>
    </comment>
    <comment ref="F51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4" authorId="2">
      <text/>
    </comment>
    <comment ref="C5195" authorId="2">
      <text>
        <r>
          <rPr>
            <sz val="11"/>
            <color theme="1"/>
            <rFont val="Calibri"/>
            <family val="2"/>
            <scheme val="minor"/>
          </rPr>
          <t>Introduzca la fecha prevista de adjudicación, en formato dd-mm-aaaa</t>
        </r>
      </text>
    </comment>
    <comment ref="F5195" authorId="2">
      <text/>
    </comment>
    <comment ref="F5196" authorId="2">
      <text/>
    </comment>
    <comment ref="A5198" authorId="2">
      <text>
        <r>
          <rPr>
            <sz val="11"/>
            <color theme="1"/>
            <rFont val="Calibri"/>
            <family val="2"/>
            <scheme val="minor"/>
          </rPr>
          <t>Introduzca un codigo UNSPSC</t>
        </r>
      </text>
    </comment>
    <comment ref="B5198" authorId="2">
      <text>
        <r>
          <rPr>
            <sz val="11"/>
            <color theme="1"/>
            <rFont val="Calibri"/>
            <family val="2"/>
            <scheme val="minor"/>
          </rPr>
          <t>Descripción calculada automáticamente a partir de código del artículo</t>
        </r>
      </text>
    </comment>
    <comment ref="C5198" authorId="2">
      <text>
        <r>
          <rPr>
            <sz val="11"/>
            <color theme="1"/>
            <rFont val="Calibri"/>
            <family val="2"/>
            <scheme val="minor"/>
          </rPr>
          <t>Seleccione un valor de la lista</t>
        </r>
      </text>
    </comment>
    <comment ref="D5198" authorId="2">
      <text>
        <r>
          <rPr>
            <sz val="11"/>
            <color theme="1"/>
            <rFont val="Calibri"/>
            <family val="2"/>
            <scheme val="minor"/>
          </rPr>
          <t>Introduzca un número con dos decimales como máximo. Debe ser igual o mayor a la "Cantidad Real Consumida"</t>
        </r>
      </text>
    </comment>
    <comment ref="E5198" authorId="2">
      <text>
        <r>
          <rPr>
            <sz val="11"/>
            <color theme="1"/>
            <rFont val="Calibri"/>
            <family val="2"/>
            <scheme val="minor"/>
          </rPr>
          <t>Introduzca un número con dos decimales como máximo</t>
        </r>
      </text>
    </comment>
    <comment ref="F5198" authorId="2">
      <text>
        <r>
          <rPr>
            <sz val="11"/>
            <color theme="1"/>
            <rFont val="Calibri"/>
            <family val="2"/>
            <scheme val="minor"/>
          </rPr>
          <t>Monto calculado automáticamente por el sistema</t>
        </r>
      </text>
    </comment>
    <comment ref="A5203" authorId="2">
      <text>
        <r>
          <rPr>
            <sz val="11"/>
            <color theme="1"/>
            <rFont val="Calibri"/>
            <family val="2"/>
            <scheme val="minor"/>
          </rPr>
          <t>Introducir un texto con el nombre o referencia de la contratación</t>
        </r>
      </text>
    </comment>
    <comment ref="B5203" authorId="2">
      <text>
        <r>
          <rPr>
            <sz val="11"/>
            <color theme="1"/>
            <rFont val="Calibri"/>
            <family val="2"/>
            <scheme val="minor"/>
          </rPr>
          <t>Introduzca un texto con la finalidad de la contratación</t>
        </r>
      </text>
    </comment>
    <comment ref="C5203" authorId="2">
      <text>
        <r>
          <rPr>
            <sz val="11"/>
            <color theme="1"/>
            <rFont val="Calibri"/>
            <family val="2"/>
            <scheme val="minor"/>
          </rPr>
          <t>Seleccionar un valor del listado</t>
        </r>
      </text>
    </comment>
    <comment ref="D5203" authorId="2">
      <text>
        <r>
          <rPr>
            <sz val="11"/>
            <color theme="1"/>
            <rFont val="Calibri"/>
            <family val="2"/>
            <scheme val="minor"/>
          </rPr>
          <t>Seleccione el tipo de procedimiento</t>
        </r>
      </text>
    </comment>
    <comment ref="E5203" authorId="2">
      <text>
        <r>
          <rPr>
            <sz val="11"/>
            <color theme="1"/>
            <rFont val="Calibri"/>
            <family val="2"/>
            <scheme val="minor"/>
          </rPr>
          <t>Seleccione un valor de la lista</t>
        </r>
      </text>
    </comment>
    <comment ref="F5203" authorId="2">
      <text>
        <r>
          <rPr>
            <sz val="11"/>
            <color theme="1"/>
            <rFont val="Calibri"/>
            <family val="2"/>
            <scheme val="minor"/>
          </rPr>
          <t>Introduzca el código SNIP</t>
        </r>
      </text>
    </comment>
    <comment ref="C5204" authorId="2">
      <text>
        <r>
          <rPr>
            <sz val="11"/>
            <color theme="1"/>
            <rFont val="Calibri"/>
            <family val="2"/>
            <scheme val="minor"/>
          </rPr>
          <t>Introduzca la fecha de inicio del proceso, en formato dd-mm-aaaa</t>
        </r>
      </text>
    </comment>
    <comment ref="F52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5" authorId="2">
      <text/>
    </comment>
    <comment ref="C5206" authorId="2">
      <text>
        <r>
          <rPr>
            <sz val="11"/>
            <color theme="1"/>
            <rFont val="Calibri"/>
            <family val="2"/>
            <scheme val="minor"/>
          </rPr>
          <t>Introduzca la fecha prevista de adjudicación, en formato dd-mm-aaaa</t>
        </r>
      </text>
    </comment>
    <comment ref="F5206" authorId="2">
      <text/>
    </comment>
    <comment ref="F5207" authorId="2">
      <text/>
    </comment>
    <comment ref="A5209" authorId="2">
      <text>
        <r>
          <rPr>
            <sz val="11"/>
            <color theme="1"/>
            <rFont val="Calibri"/>
            <family val="2"/>
            <scheme val="minor"/>
          </rPr>
          <t>Introduzca un codigo UNSPSC</t>
        </r>
      </text>
    </comment>
    <comment ref="B5209" authorId="2">
      <text>
        <r>
          <rPr>
            <sz val="11"/>
            <color theme="1"/>
            <rFont val="Calibri"/>
            <family val="2"/>
            <scheme val="minor"/>
          </rPr>
          <t>Descripción calculada automáticamente a partir de código del artículo</t>
        </r>
      </text>
    </comment>
    <comment ref="C5209" authorId="2">
      <text>
        <r>
          <rPr>
            <sz val="11"/>
            <color theme="1"/>
            <rFont val="Calibri"/>
            <family val="2"/>
            <scheme val="minor"/>
          </rPr>
          <t>Seleccione un valor de la lista</t>
        </r>
      </text>
    </comment>
    <comment ref="D5209" authorId="2">
      <text>
        <r>
          <rPr>
            <sz val="11"/>
            <color theme="1"/>
            <rFont val="Calibri"/>
            <family val="2"/>
            <scheme val="minor"/>
          </rPr>
          <t>Introduzca un número con dos decimales como máximo. Debe ser igual o mayor a la "Cantidad Real Consumida"</t>
        </r>
      </text>
    </comment>
    <comment ref="E5209" authorId="2">
      <text>
        <r>
          <rPr>
            <sz val="11"/>
            <color theme="1"/>
            <rFont val="Calibri"/>
            <family val="2"/>
            <scheme val="minor"/>
          </rPr>
          <t>Introduzca un número con dos decimales como máximo</t>
        </r>
      </text>
    </comment>
    <comment ref="F5209" authorId="2">
      <text>
        <r>
          <rPr>
            <sz val="11"/>
            <color theme="1"/>
            <rFont val="Calibri"/>
            <family val="2"/>
            <scheme val="minor"/>
          </rPr>
          <t>Monto calculado automáticamente por el sistema</t>
        </r>
      </text>
    </comment>
    <comment ref="A5224" authorId="2">
      <text>
        <r>
          <rPr>
            <sz val="11"/>
            <color theme="1"/>
            <rFont val="Calibri"/>
            <family val="2"/>
            <scheme val="minor"/>
          </rPr>
          <t>Introducir un texto con el nombre o referencia de la contratación</t>
        </r>
      </text>
    </comment>
    <comment ref="B5224" authorId="2">
      <text>
        <r>
          <rPr>
            <sz val="11"/>
            <color theme="1"/>
            <rFont val="Calibri"/>
            <family val="2"/>
            <scheme val="minor"/>
          </rPr>
          <t>Introduzca un texto con la finalidad de la contratación</t>
        </r>
      </text>
    </comment>
    <comment ref="C5224" authorId="2">
      <text>
        <r>
          <rPr>
            <sz val="11"/>
            <color theme="1"/>
            <rFont val="Calibri"/>
            <family val="2"/>
            <scheme val="minor"/>
          </rPr>
          <t>Seleccionar un valor del listado</t>
        </r>
      </text>
    </comment>
    <comment ref="D5224" authorId="2">
      <text>
        <r>
          <rPr>
            <sz val="11"/>
            <color theme="1"/>
            <rFont val="Calibri"/>
            <family val="2"/>
            <scheme val="minor"/>
          </rPr>
          <t>Seleccione el tipo de procedimiento</t>
        </r>
      </text>
    </comment>
    <comment ref="E5224" authorId="2">
      <text>
        <r>
          <rPr>
            <sz val="11"/>
            <color theme="1"/>
            <rFont val="Calibri"/>
            <family val="2"/>
            <scheme val="minor"/>
          </rPr>
          <t>Seleccione un valor de la lista</t>
        </r>
      </text>
    </comment>
    <comment ref="F5224" authorId="2">
      <text>
        <r>
          <rPr>
            <sz val="11"/>
            <color theme="1"/>
            <rFont val="Calibri"/>
            <family val="2"/>
            <scheme val="minor"/>
          </rPr>
          <t>Introduzca el código SNIP</t>
        </r>
      </text>
    </comment>
    <comment ref="C5225" authorId="2">
      <text>
        <r>
          <rPr>
            <sz val="11"/>
            <color theme="1"/>
            <rFont val="Calibri"/>
            <family val="2"/>
            <scheme val="minor"/>
          </rPr>
          <t>Introduzca la fecha de inicio del proceso, en formato dd-mm-aaaa</t>
        </r>
      </text>
    </comment>
    <comment ref="F52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6" authorId="2">
      <text/>
    </comment>
    <comment ref="C5227" authorId="2">
      <text>
        <r>
          <rPr>
            <sz val="11"/>
            <color theme="1"/>
            <rFont val="Calibri"/>
            <family val="2"/>
            <scheme val="minor"/>
          </rPr>
          <t>Introduzca la fecha prevista de adjudicación, en formato dd-mm-aaaa</t>
        </r>
      </text>
    </comment>
    <comment ref="F5227" authorId="2">
      <text/>
    </comment>
    <comment ref="F5228" authorId="2">
      <text/>
    </comment>
    <comment ref="A5230" authorId="2">
      <text>
        <r>
          <rPr>
            <sz val="11"/>
            <color theme="1"/>
            <rFont val="Calibri"/>
            <family val="2"/>
            <scheme val="minor"/>
          </rPr>
          <t>Introduzca un codigo UNSPSC</t>
        </r>
      </text>
    </comment>
    <comment ref="B5230" authorId="2">
      <text>
        <r>
          <rPr>
            <sz val="11"/>
            <color theme="1"/>
            <rFont val="Calibri"/>
            <family val="2"/>
            <scheme val="minor"/>
          </rPr>
          <t>Descripción calculada automáticamente a partir de código del artículo</t>
        </r>
      </text>
    </comment>
    <comment ref="C5230" authorId="2">
      <text>
        <r>
          <rPr>
            <sz val="11"/>
            <color theme="1"/>
            <rFont val="Calibri"/>
            <family val="2"/>
            <scheme val="minor"/>
          </rPr>
          <t>Seleccione un valor de la lista</t>
        </r>
      </text>
    </comment>
    <comment ref="D5230" authorId="2">
      <text>
        <r>
          <rPr>
            <sz val="11"/>
            <color theme="1"/>
            <rFont val="Calibri"/>
            <family val="2"/>
            <scheme val="minor"/>
          </rPr>
          <t>Introduzca un número con dos decimales como máximo. Debe ser igual o mayor a la "Cantidad Real Consumida"</t>
        </r>
      </text>
    </comment>
    <comment ref="E5230" authorId="2">
      <text>
        <r>
          <rPr>
            <sz val="11"/>
            <color theme="1"/>
            <rFont val="Calibri"/>
            <family val="2"/>
            <scheme val="minor"/>
          </rPr>
          <t>Introduzca un número con dos decimales como máximo</t>
        </r>
      </text>
    </comment>
    <comment ref="F5230" authorId="2">
      <text>
        <r>
          <rPr>
            <sz val="11"/>
            <color theme="1"/>
            <rFont val="Calibri"/>
            <family val="2"/>
            <scheme val="minor"/>
          </rPr>
          <t>Monto calculado automáticamente por el sistema</t>
        </r>
      </text>
    </comment>
    <comment ref="A5235" authorId="2">
      <text>
        <r>
          <rPr>
            <sz val="11"/>
            <color theme="1"/>
            <rFont val="Calibri"/>
            <family val="2"/>
            <scheme val="minor"/>
          </rPr>
          <t>Introducir un texto con el nombre o referencia de la contratación</t>
        </r>
      </text>
    </comment>
    <comment ref="B5235" authorId="2">
      <text>
        <r>
          <rPr>
            <sz val="11"/>
            <color theme="1"/>
            <rFont val="Calibri"/>
            <family val="2"/>
            <scheme val="minor"/>
          </rPr>
          <t>Introduzca un texto con la finalidad de la contratación</t>
        </r>
      </text>
    </comment>
    <comment ref="C5235" authorId="2">
      <text>
        <r>
          <rPr>
            <sz val="11"/>
            <color theme="1"/>
            <rFont val="Calibri"/>
            <family val="2"/>
            <scheme val="minor"/>
          </rPr>
          <t>Seleccionar un valor del listado</t>
        </r>
      </text>
    </comment>
    <comment ref="D5235" authorId="2">
      <text>
        <r>
          <rPr>
            <sz val="11"/>
            <color theme="1"/>
            <rFont val="Calibri"/>
            <family val="2"/>
            <scheme val="minor"/>
          </rPr>
          <t>Seleccione el tipo de procedimiento</t>
        </r>
      </text>
    </comment>
    <comment ref="E5235" authorId="2">
      <text>
        <r>
          <rPr>
            <sz val="11"/>
            <color theme="1"/>
            <rFont val="Calibri"/>
            <family val="2"/>
            <scheme val="minor"/>
          </rPr>
          <t>Seleccione un valor de la lista</t>
        </r>
      </text>
    </comment>
    <comment ref="F5235" authorId="2">
      <text>
        <r>
          <rPr>
            <sz val="11"/>
            <color theme="1"/>
            <rFont val="Calibri"/>
            <family val="2"/>
            <scheme val="minor"/>
          </rPr>
          <t>Introduzca el código SNIP</t>
        </r>
      </text>
    </comment>
    <comment ref="C5236" authorId="2">
      <text>
        <r>
          <rPr>
            <sz val="11"/>
            <color theme="1"/>
            <rFont val="Calibri"/>
            <family val="2"/>
            <scheme val="minor"/>
          </rPr>
          <t>Introduzca la fecha de inicio del proceso, en formato dd-mm-aaaa</t>
        </r>
      </text>
    </comment>
    <comment ref="F52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7" authorId="2">
      <text/>
    </comment>
    <comment ref="C5238" authorId="2">
      <text>
        <r>
          <rPr>
            <sz val="11"/>
            <color theme="1"/>
            <rFont val="Calibri"/>
            <family val="2"/>
            <scheme val="minor"/>
          </rPr>
          <t>Introduzca la fecha prevista de adjudicación, en formato dd-mm-aaaa</t>
        </r>
      </text>
    </comment>
    <comment ref="F5238" authorId="2">
      <text/>
    </comment>
    <comment ref="F5239" authorId="2">
      <text/>
    </comment>
    <comment ref="A5241" authorId="2">
      <text>
        <r>
          <rPr>
            <sz val="11"/>
            <color theme="1"/>
            <rFont val="Calibri"/>
            <family val="2"/>
            <scheme val="minor"/>
          </rPr>
          <t>Introduzca un codigo UNSPSC</t>
        </r>
      </text>
    </comment>
    <comment ref="B5241" authorId="2">
      <text>
        <r>
          <rPr>
            <sz val="11"/>
            <color theme="1"/>
            <rFont val="Calibri"/>
            <family val="2"/>
            <scheme val="minor"/>
          </rPr>
          <t>Descripción calculada automáticamente a partir de código del artículo</t>
        </r>
      </text>
    </comment>
    <comment ref="C5241" authorId="2">
      <text>
        <r>
          <rPr>
            <sz val="11"/>
            <color theme="1"/>
            <rFont val="Calibri"/>
            <family val="2"/>
            <scheme val="minor"/>
          </rPr>
          <t>Seleccione un valor de la lista</t>
        </r>
      </text>
    </comment>
    <comment ref="D5241" authorId="2">
      <text>
        <r>
          <rPr>
            <sz val="11"/>
            <color theme="1"/>
            <rFont val="Calibri"/>
            <family val="2"/>
            <scheme val="minor"/>
          </rPr>
          <t>Introduzca un número con dos decimales como máximo. Debe ser igual o mayor a la "Cantidad Real Consumida"</t>
        </r>
      </text>
    </comment>
    <comment ref="E5241" authorId="2">
      <text>
        <r>
          <rPr>
            <sz val="11"/>
            <color theme="1"/>
            <rFont val="Calibri"/>
            <family val="2"/>
            <scheme val="minor"/>
          </rPr>
          <t>Introduzca un número con dos decimales como máximo</t>
        </r>
      </text>
    </comment>
    <comment ref="F5241" authorId="2">
      <text>
        <r>
          <rPr>
            <sz val="11"/>
            <color theme="1"/>
            <rFont val="Calibri"/>
            <family val="2"/>
            <scheme val="minor"/>
          </rPr>
          <t>Monto calculado automáticamente por el sistema</t>
        </r>
      </text>
    </comment>
    <comment ref="A5246" authorId="2">
      <text>
        <r>
          <rPr>
            <sz val="11"/>
            <color theme="1"/>
            <rFont val="Calibri"/>
            <family val="2"/>
            <scheme val="minor"/>
          </rPr>
          <t>Introducir un texto con el nombre o referencia de la contratación</t>
        </r>
      </text>
    </comment>
    <comment ref="B5246" authorId="2">
      <text>
        <r>
          <rPr>
            <sz val="11"/>
            <color theme="1"/>
            <rFont val="Calibri"/>
            <family val="2"/>
            <scheme val="minor"/>
          </rPr>
          <t>Introduzca un texto con la finalidad de la contratación</t>
        </r>
      </text>
    </comment>
    <comment ref="C5246" authorId="2">
      <text>
        <r>
          <rPr>
            <sz val="11"/>
            <color theme="1"/>
            <rFont val="Calibri"/>
            <family val="2"/>
            <scheme val="minor"/>
          </rPr>
          <t>Seleccionar un valor del listado</t>
        </r>
      </text>
    </comment>
    <comment ref="D5246" authorId="2">
      <text>
        <r>
          <rPr>
            <sz val="11"/>
            <color theme="1"/>
            <rFont val="Calibri"/>
            <family val="2"/>
            <scheme val="minor"/>
          </rPr>
          <t>Seleccione el tipo de procedimiento</t>
        </r>
      </text>
    </comment>
    <comment ref="E5246" authorId="2">
      <text>
        <r>
          <rPr>
            <sz val="11"/>
            <color theme="1"/>
            <rFont val="Calibri"/>
            <family val="2"/>
            <scheme val="minor"/>
          </rPr>
          <t>Seleccione un valor de la lista</t>
        </r>
      </text>
    </comment>
    <comment ref="F5246" authorId="2">
      <text>
        <r>
          <rPr>
            <sz val="11"/>
            <color theme="1"/>
            <rFont val="Calibri"/>
            <family val="2"/>
            <scheme val="minor"/>
          </rPr>
          <t>Introduzca el código SNIP</t>
        </r>
      </text>
    </comment>
    <comment ref="C5247" authorId="2">
      <text>
        <r>
          <rPr>
            <sz val="11"/>
            <color theme="1"/>
            <rFont val="Calibri"/>
            <family val="2"/>
            <scheme val="minor"/>
          </rPr>
          <t>Introduzca la fecha de inicio del proceso, en formato dd-mm-aaaa</t>
        </r>
      </text>
    </comment>
    <comment ref="F52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8" authorId="2">
      <text/>
    </comment>
    <comment ref="C5249" authorId="2">
      <text>
        <r>
          <rPr>
            <sz val="11"/>
            <color theme="1"/>
            <rFont val="Calibri"/>
            <family val="2"/>
            <scheme val="minor"/>
          </rPr>
          <t>Introduzca la fecha prevista de adjudicación, en formato dd-mm-aaaa</t>
        </r>
      </text>
    </comment>
    <comment ref="F5249" authorId="2">
      <text/>
    </comment>
    <comment ref="F5250" authorId="2">
      <text/>
    </comment>
    <comment ref="A5252" authorId="2">
      <text>
        <r>
          <rPr>
            <sz val="11"/>
            <color theme="1"/>
            <rFont val="Calibri"/>
            <family val="2"/>
            <scheme val="minor"/>
          </rPr>
          <t>Introduzca un codigo UNSPSC</t>
        </r>
      </text>
    </comment>
    <comment ref="B5252" authorId="2">
      <text>
        <r>
          <rPr>
            <sz val="11"/>
            <color theme="1"/>
            <rFont val="Calibri"/>
            <family val="2"/>
            <scheme val="minor"/>
          </rPr>
          <t>Descripción calculada automáticamente a partir de código del artículo</t>
        </r>
      </text>
    </comment>
    <comment ref="C5252" authorId="2">
      <text>
        <r>
          <rPr>
            <sz val="11"/>
            <color theme="1"/>
            <rFont val="Calibri"/>
            <family val="2"/>
            <scheme val="minor"/>
          </rPr>
          <t>Seleccione un valor de la lista</t>
        </r>
      </text>
    </comment>
    <comment ref="D5252" authorId="2">
      <text>
        <r>
          <rPr>
            <sz val="11"/>
            <color theme="1"/>
            <rFont val="Calibri"/>
            <family val="2"/>
            <scheme val="minor"/>
          </rPr>
          <t>Introduzca un número con dos decimales como máximo. Debe ser igual o mayor a la "Cantidad Real Consumida"</t>
        </r>
      </text>
    </comment>
    <comment ref="E5252" authorId="2">
      <text>
        <r>
          <rPr>
            <sz val="11"/>
            <color theme="1"/>
            <rFont val="Calibri"/>
            <family val="2"/>
            <scheme val="minor"/>
          </rPr>
          <t>Introduzca un número con dos decimales como máximo</t>
        </r>
      </text>
    </comment>
    <comment ref="F5252" authorId="2">
      <text>
        <r>
          <rPr>
            <sz val="11"/>
            <color theme="1"/>
            <rFont val="Calibri"/>
            <family val="2"/>
            <scheme val="minor"/>
          </rPr>
          <t>Monto calculado automáticamente por el sistema</t>
        </r>
      </text>
    </comment>
    <comment ref="A5270" authorId="2">
      <text>
        <r>
          <rPr>
            <sz val="11"/>
            <color theme="1"/>
            <rFont val="Calibri"/>
            <family val="2"/>
            <scheme val="minor"/>
          </rPr>
          <t>Introducir un texto con el nombre o referencia de la contratación</t>
        </r>
      </text>
    </comment>
    <comment ref="B5270" authorId="2">
      <text>
        <r>
          <rPr>
            <sz val="11"/>
            <color theme="1"/>
            <rFont val="Calibri"/>
            <family val="2"/>
            <scheme val="minor"/>
          </rPr>
          <t>Introduzca un texto con la finalidad de la contratación</t>
        </r>
      </text>
    </comment>
    <comment ref="C5270" authorId="2">
      <text>
        <r>
          <rPr>
            <sz val="11"/>
            <color theme="1"/>
            <rFont val="Calibri"/>
            <family val="2"/>
            <scheme val="minor"/>
          </rPr>
          <t>Seleccionar un valor del listado</t>
        </r>
      </text>
    </comment>
    <comment ref="D5270" authorId="2">
      <text>
        <r>
          <rPr>
            <sz val="11"/>
            <color theme="1"/>
            <rFont val="Calibri"/>
            <family val="2"/>
            <scheme val="minor"/>
          </rPr>
          <t>Seleccione el tipo de procedimiento</t>
        </r>
      </text>
    </comment>
    <comment ref="E5270" authorId="2">
      <text>
        <r>
          <rPr>
            <sz val="11"/>
            <color theme="1"/>
            <rFont val="Calibri"/>
            <family val="2"/>
            <scheme val="minor"/>
          </rPr>
          <t>Seleccione un valor de la lista</t>
        </r>
      </text>
    </comment>
    <comment ref="F5270" authorId="2">
      <text>
        <r>
          <rPr>
            <sz val="11"/>
            <color theme="1"/>
            <rFont val="Calibri"/>
            <family val="2"/>
            <scheme val="minor"/>
          </rPr>
          <t>Introduzca el código SNIP</t>
        </r>
      </text>
    </comment>
    <comment ref="C5271" authorId="2">
      <text>
        <r>
          <rPr>
            <sz val="11"/>
            <color theme="1"/>
            <rFont val="Calibri"/>
            <family val="2"/>
            <scheme val="minor"/>
          </rPr>
          <t>Introduzca la fecha de inicio del proceso, en formato dd-mm-aaaa</t>
        </r>
      </text>
    </comment>
    <comment ref="F52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2" authorId="2">
      <text/>
    </comment>
    <comment ref="C5273" authorId="2">
      <text>
        <r>
          <rPr>
            <sz val="11"/>
            <color theme="1"/>
            <rFont val="Calibri"/>
            <family val="2"/>
            <scheme val="minor"/>
          </rPr>
          <t>Introduzca la fecha prevista de adjudicación, en formato dd-mm-aaaa</t>
        </r>
      </text>
    </comment>
    <comment ref="F5273" authorId="2">
      <text/>
    </comment>
    <comment ref="F5274" authorId="2">
      <text/>
    </comment>
    <comment ref="A5276" authorId="2">
      <text>
        <r>
          <rPr>
            <sz val="11"/>
            <color theme="1"/>
            <rFont val="Calibri"/>
            <family val="2"/>
            <scheme val="minor"/>
          </rPr>
          <t>Introduzca un codigo UNSPSC</t>
        </r>
      </text>
    </comment>
    <comment ref="B5276" authorId="2">
      <text>
        <r>
          <rPr>
            <sz val="11"/>
            <color theme="1"/>
            <rFont val="Calibri"/>
            <family val="2"/>
            <scheme val="minor"/>
          </rPr>
          <t>Descripción calculada automáticamente a partir de código del artículo</t>
        </r>
      </text>
    </comment>
    <comment ref="C5276" authorId="2">
      <text>
        <r>
          <rPr>
            <sz val="11"/>
            <color theme="1"/>
            <rFont val="Calibri"/>
            <family val="2"/>
            <scheme val="minor"/>
          </rPr>
          <t>Seleccione un valor de la lista</t>
        </r>
      </text>
    </comment>
    <comment ref="D5276" authorId="2">
      <text>
        <r>
          <rPr>
            <sz val="11"/>
            <color theme="1"/>
            <rFont val="Calibri"/>
            <family val="2"/>
            <scheme val="minor"/>
          </rPr>
          <t>Introduzca un número con dos decimales como máximo. Debe ser igual o mayor a la "Cantidad Real Consumida"</t>
        </r>
      </text>
    </comment>
    <comment ref="E5276" authorId="2">
      <text>
        <r>
          <rPr>
            <sz val="11"/>
            <color theme="1"/>
            <rFont val="Calibri"/>
            <family val="2"/>
            <scheme val="minor"/>
          </rPr>
          <t>Introduzca un número con dos decimales como máximo</t>
        </r>
      </text>
    </comment>
    <comment ref="F5276" authorId="2">
      <text>
        <r>
          <rPr>
            <sz val="11"/>
            <color theme="1"/>
            <rFont val="Calibri"/>
            <family val="2"/>
            <scheme val="minor"/>
          </rPr>
          <t>Monto calculado automáticamente por el sistema</t>
        </r>
      </text>
    </comment>
    <comment ref="A5282" authorId="2">
      <text>
        <r>
          <rPr>
            <sz val="11"/>
            <color theme="1"/>
            <rFont val="Calibri"/>
            <family val="2"/>
            <scheme val="minor"/>
          </rPr>
          <t>Introducir un texto con el nombre o referencia de la contratación</t>
        </r>
      </text>
    </comment>
    <comment ref="B5282" authorId="2">
      <text>
        <r>
          <rPr>
            <sz val="11"/>
            <color theme="1"/>
            <rFont val="Calibri"/>
            <family val="2"/>
            <scheme val="minor"/>
          </rPr>
          <t>Introduzca un texto con la finalidad de la contratación</t>
        </r>
      </text>
    </comment>
    <comment ref="C5282" authorId="2">
      <text>
        <r>
          <rPr>
            <sz val="11"/>
            <color theme="1"/>
            <rFont val="Calibri"/>
            <family val="2"/>
            <scheme val="minor"/>
          </rPr>
          <t>Seleccionar un valor del listado</t>
        </r>
      </text>
    </comment>
    <comment ref="D5282" authorId="2">
      <text>
        <r>
          <rPr>
            <sz val="11"/>
            <color theme="1"/>
            <rFont val="Calibri"/>
            <family val="2"/>
            <scheme val="minor"/>
          </rPr>
          <t>Seleccione el tipo de procedimiento</t>
        </r>
      </text>
    </comment>
    <comment ref="E5282" authorId="2">
      <text>
        <r>
          <rPr>
            <sz val="11"/>
            <color theme="1"/>
            <rFont val="Calibri"/>
            <family val="2"/>
            <scheme val="minor"/>
          </rPr>
          <t>Seleccione un valor de la lista</t>
        </r>
      </text>
    </comment>
    <comment ref="F5282" authorId="2">
      <text>
        <r>
          <rPr>
            <sz val="11"/>
            <color theme="1"/>
            <rFont val="Calibri"/>
            <family val="2"/>
            <scheme val="minor"/>
          </rPr>
          <t>Introduzca el código SNIP</t>
        </r>
      </text>
    </comment>
    <comment ref="C5283" authorId="2">
      <text>
        <r>
          <rPr>
            <sz val="11"/>
            <color theme="1"/>
            <rFont val="Calibri"/>
            <family val="2"/>
            <scheme val="minor"/>
          </rPr>
          <t>Introduzca la fecha de inicio del proceso, en formato dd-mm-aaaa</t>
        </r>
      </text>
    </comment>
    <comment ref="F52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4" authorId="2">
      <text/>
    </comment>
    <comment ref="C5285" authorId="2">
      <text>
        <r>
          <rPr>
            <sz val="11"/>
            <color theme="1"/>
            <rFont val="Calibri"/>
            <family val="2"/>
            <scheme val="minor"/>
          </rPr>
          <t>Introduzca la fecha prevista de adjudicación, en formato dd-mm-aaaa</t>
        </r>
      </text>
    </comment>
    <comment ref="F5285" authorId="2">
      <text/>
    </comment>
    <comment ref="F5286" authorId="2">
      <text/>
    </comment>
    <comment ref="A5288" authorId="2">
      <text>
        <r>
          <rPr>
            <sz val="11"/>
            <color theme="1"/>
            <rFont val="Calibri"/>
            <family val="2"/>
            <scheme val="minor"/>
          </rPr>
          <t>Introduzca un codigo UNSPSC</t>
        </r>
      </text>
    </comment>
    <comment ref="B5288" authorId="2">
      <text>
        <r>
          <rPr>
            <sz val="11"/>
            <color theme="1"/>
            <rFont val="Calibri"/>
            <family val="2"/>
            <scheme val="minor"/>
          </rPr>
          <t>Descripción calculada automáticamente a partir de código del artículo</t>
        </r>
      </text>
    </comment>
    <comment ref="C5288" authorId="2">
      <text>
        <r>
          <rPr>
            <sz val="11"/>
            <color theme="1"/>
            <rFont val="Calibri"/>
            <family val="2"/>
            <scheme val="minor"/>
          </rPr>
          <t>Seleccione un valor de la lista</t>
        </r>
      </text>
    </comment>
    <comment ref="D5288" authorId="2">
      <text>
        <r>
          <rPr>
            <sz val="11"/>
            <color theme="1"/>
            <rFont val="Calibri"/>
            <family val="2"/>
            <scheme val="minor"/>
          </rPr>
          <t>Introduzca un número con dos decimales como máximo. Debe ser igual o mayor a la "Cantidad Real Consumida"</t>
        </r>
      </text>
    </comment>
    <comment ref="E5288" authorId="2">
      <text>
        <r>
          <rPr>
            <sz val="11"/>
            <color theme="1"/>
            <rFont val="Calibri"/>
            <family val="2"/>
            <scheme val="minor"/>
          </rPr>
          <t>Introduzca un número con dos decimales como máximo</t>
        </r>
      </text>
    </comment>
    <comment ref="F5288" authorId="2">
      <text>
        <r>
          <rPr>
            <sz val="11"/>
            <color theme="1"/>
            <rFont val="Calibri"/>
            <family val="2"/>
            <scheme val="minor"/>
          </rPr>
          <t>Monto calculado automáticamente por el sistema</t>
        </r>
      </text>
    </comment>
    <comment ref="A5293" authorId="2">
      <text>
        <r>
          <rPr>
            <sz val="11"/>
            <color theme="1"/>
            <rFont val="Calibri"/>
            <family val="2"/>
            <scheme val="minor"/>
          </rPr>
          <t>Introducir un texto con el nombre o referencia de la contratación</t>
        </r>
      </text>
    </comment>
    <comment ref="B5293" authorId="2">
      <text>
        <r>
          <rPr>
            <sz val="11"/>
            <color theme="1"/>
            <rFont val="Calibri"/>
            <family val="2"/>
            <scheme val="minor"/>
          </rPr>
          <t>Introduzca un texto con la finalidad de la contratación</t>
        </r>
      </text>
    </comment>
    <comment ref="C5293" authorId="2">
      <text>
        <r>
          <rPr>
            <sz val="11"/>
            <color theme="1"/>
            <rFont val="Calibri"/>
            <family val="2"/>
            <scheme val="minor"/>
          </rPr>
          <t>Seleccionar un valor del listado</t>
        </r>
      </text>
    </comment>
    <comment ref="D5293" authorId="2">
      <text>
        <r>
          <rPr>
            <sz val="11"/>
            <color theme="1"/>
            <rFont val="Calibri"/>
            <family val="2"/>
            <scheme val="minor"/>
          </rPr>
          <t>Seleccione el tipo de procedimiento</t>
        </r>
      </text>
    </comment>
    <comment ref="E5293" authorId="2">
      <text>
        <r>
          <rPr>
            <sz val="11"/>
            <color theme="1"/>
            <rFont val="Calibri"/>
            <family val="2"/>
            <scheme val="minor"/>
          </rPr>
          <t>Seleccione un valor de la lista</t>
        </r>
      </text>
    </comment>
    <comment ref="F5293" authorId="2">
      <text>
        <r>
          <rPr>
            <sz val="11"/>
            <color theme="1"/>
            <rFont val="Calibri"/>
            <family val="2"/>
            <scheme val="minor"/>
          </rPr>
          <t>Introduzca el código SNIP</t>
        </r>
      </text>
    </comment>
    <comment ref="C5294" authorId="2">
      <text>
        <r>
          <rPr>
            <sz val="11"/>
            <color theme="1"/>
            <rFont val="Calibri"/>
            <family val="2"/>
            <scheme val="minor"/>
          </rPr>
          <t>Introduzca la fecha de inicio del proceso, en formato dd-mm-aaaa</t>
        </r>
      </text>
    </comment>
    <comment ref="F52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5" authorId="2">
      <text/>
    </comment>
    <comment ref="C5296" authorId="2">
      <text>
        <r>
          <rPr>
            <sz val="11"/>
            <color theme="1"/>
            <rFont val="Calibri"/>
            <family val="2"/>
            <scheme val="minor"/>
          </rPr>
          <t>Introduzca la fecha prevista de adjudicación, en formato dd-mm-aaaa</t>
        </r>
      </text>
    </comment>
    <comment ref="F5296" authorId="2">
      <text/>
    </comment>
    <comment ref="F5297" authorId="2">
      <text/>
    </comment>
    <comment ref="A5299" authorId="2">
      <text>
        <r>
          <rPr>
            <sz val="11"/>
            <color theme="1"/>
            <rFont val="Calibri"/>
            <family val="2"/>
            <scheme val="minor"/>
          </rPr>
          <t>Introduzca un codigo UNSPSC</t>
        </r>
      </text>
    </comment>
    <comment ref="B5299" authorId="2">
      <text>
        <r>
          <rPr>
            <sz val="11"/>
            <color theme="1"/>
            <rFont val="Calibri"/>
            <family val="2"/>
            <scheme val="minor"/>
          </rPr>
          <t>Descripción calculada automáticamente a partir de código del artículo</t>
        </r>
      </text>
    </comment>
    <comment ref="C5299" authorId="2">
      <text>
        <r>
          <rPr>
            <sz val="11"/>
            <color theme="1"/>
            <rFont val="Calibri"/>
            <family val="2"/>
            <scheme val="minor"/>
          </rPr>
          <t>Seleccione un valor de la lista</t>
        </r>
      </text>
    </comment>
    <comment ref="D5299" authorId="2">
      <text>
        <r>
          <rPr>
            <sz val="11"/>
            <color theme="1"/>
            <rFont val="Calibri"/>
            <family val="2"/>
            <scheme val="minor"/>
          </rPr>
          <t>Introduzca un número con dos decimales como máximo. Debe ser igual o mayor a la "Cantidad Real Consumida"</t>
        </r>
      </text>
    </comment>
    <comment ref="E5299" authorId="2">
      <text>
        <r>
          <rPr>
            <sz val="11"/>
            <color theme="1"/>
            <rFont val="Calibri"/>
            <family val="2"/>
            <scheme val="minor"/>
          </rPr>
          <t>Introduzca un número con dos decimales como máximo</t>
        </r>
      </text>
    </comment>
    <comment ref="F5299" authorId="2">
      <text>
        <r>
          <rPr>
            <sz val="11"/>
            <color theme="1"/>
            <rFont val="Calibri"/>
            <family val="2"/>
            <scheme val="minor"/>
          </rPr>
          <t>Monto calculado automáticamente por el sistema</t>
        </r>
      </text>
    </comment>
    <comment ref="A5314" authorId="2">
      <text>
        <r>
          <rPr>
            <sz val="11"/>
            <color theme="1"/>
            <rFont val="Calibri"/>
            <family val="2"/>
            <scheme val="minor"/>
          </rPr>
          <t>Introducir un texto con el nombre o referencia de la contratación</t>
        </r>
      </text>
    </comment>
    <comment ref="B5314" authorId="2">
      <text>
        <r>
          <rPr>
            <sz val="11"/>
            <color theme="1"/>
            <rFont val="Calibri"/>
            <family val="2"/>
            <scheme val="minor"/>
          </rPr>
          <t>Introduzca un texto con la finalidad de la contratación</t>
        </r>
      </text>
    </comment>
    <comment ref="C5314" authorId="2">
      <text>
        <r>
          <rPr>
            <sz val="11"/>
            <color theme="1"/>
            <rFont val="Calibri"/>
            <family val="2"/>
            <scheme val="minor"/>
          </rPr>
          <t>Seleccionar un valor del listado</t>
        </r>
      </text>
    </comment>
    <comment ref="D5314" authorId="2">
      <text>
        <r>
          <rPr>
            <sz val="11"/>
            <color theme="1"/>
            <rFont val="Calibri"/>
            <family val="2"/>
            <scheme val="minor"/>
          </rPr>
          <t>Seleccione el tipo de procedimiento</t>
        </r>
      </text>
    </comment>
    <comment ref="E5314" authorId="2">
      <text>
        <r>
          <rPr>
            <sz val="11"/>
            <color theme="1"/>
            <rFont val="Calibri"/>
            <family val="2"/>
            <scheme val="minor"/>
          </rPr>
          <t>Seleccione un valor de la lista</t>
        </r>
      </text>
    </comment>
    <comment ref="F5314" authorId="2">
      <text>
        <r>
          <rPr>
            <sz val="11"/>
            <color theme="1"/>
            <rFont val="Calibri"/>
            <family val="2"/>
            <scheme val="minor"/>
          </rPr>
          <t>Introduzca el código SNIP</t>
        </r>
      </text>
    </comment>
    <comment ref="C5315" authorId="2">
      <text>
        <r>
          <rPr>
            <sz val="11"/>
            <color theme="1"/>
            <rFont val="Calibri"/>
            <family val="2"/>
            <scheme val="minor"/>
          </rPr>
          <t>Introduzca la fecha de inicio del proceso, en formato dd-mm-aaaa</t>
        </r>
      </text>
    </comment>
    <comment ref="F53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6" authorId="2">
      <text/>
    </comment>
    <comment ref="C5317" authorId="2">
      <text>
        <r>
          <rPr>
            <sz val="11"/>
            <color theme="1"/>
            <rFont val="Calibri"/>
            <family val="2"/>
            <scheme val="minor"/>
          </rPr>
          <t>Introduzca la fecha prevista de adjudicación, en formato dd-mm-aaaa</t>
        </r>
      </text>
    </comment>
    <comment ref="F5317" authorId="2">
      <text/>
    </comment>
    <comment ref="F5318" authorId="2">
      <text/>
    </comment>
    <comment ref="A5320" authorId="2">
      <text>
        <r>
          <rPr>
            <sz val="11"/>
            <color theme="1"/>
            <rFont val="Calibri"/>
            <family val="2"/>
            <scheme val="minor"/>
          </rPr>
          <t>Introduzca un codigo UNSPSC</t>
        </r>
      </text>
    </comment>
    <comment ref="B5320" authorId="2">
      <text>
        <r>
          <rPr>
            <sz val="11"/>
            <color theme="1"/>
            <rFont val="Calibri"/>
            <family val="2"/>
            <scheme val="minor"/>
          </rPr>
          <t>Descripción calculada automáticamente a partir de código del artículo</t>
        </r>
      </text>
    </comment>
    <comment ref="C5320" authorId="2">
      <text>
        <r>
          <rPr>
            <sz val="11"/>
            <color theme="1"/>
            <rFont val="Calibri"/>
            <family val="2"/>
            <scheme val="minor"/>
          </rPr>
          <t>Seleccione un valor de la lista</t>
        </r>
      </text>
    </comment>
    <comment ref="D5320" authorId="2">
      <text>
        <r>
          <rPr>
            <sz val="11"/>
            <color theme="1"/>
            <rFont val="Calibri"/>
            <family val="2"/>
            <scheme val="minor"/>
          </rPr>
          <t>Introduzca un número con dos decimales como máximo. Debe ser igual o mayor a la "Cantidad Real Consumida"</t>
        </r>
      </text>
    </comment>
    <comment ref="E5320" authorId="2">
      <text>
        <r>
          <rPr>
            <sz val="11"/>
            <color theme="1"/>
            <rFont val="Calibri"/>
            <family val="2"/>
            <scheme val="minor"/>
          </rPr>
          <t>Introduzca un número con dos decimales como máximo</t>
        </r>
      </text>
    </comment>
    <comment ref="F5320" authorId="2">
      <text>
        <r>
          <rPr>
            <sz val="11"/>
            <color theme="1"/>
            <rFont val="Calibri"/>
            <family val="2"/>
            <scheme val="minor"/>
          </rPr>
          <t>Monto calculado automáticamente por el sistema</t>
        </r>
      </text>
    </comment>
    <comment ref="A5342" authorId="2">
      <text>
        <r>
          <rPr>
            <sz val="11"/>
            <color theme="1"/>
            <rFont val="Calibri"/>
            <family val="2"/>
            <scheme val="minor"/>
          </rPr>
          <t>Introducir un texto con el nombre o referencia de la contratación</t>
        </r>
      </text>
    </comment>
    <comment ref="B5342" authorId="2">
      <text>
        <r>
          <rPr>
            <sz val="11"/>
            <color theme="1"/>
            <rFont val="Calibri"/>
            <family val="2"/>
            <scheme val="minor"/>
          </rPr>
          <t>Introduzca un texto con la finalidad de la contratación</t>
        </r>
      </text>
    </comment>
    <comment ref="C5342" authorId="2">
      <text>
        <r>
          <rPr>
            <sz val="11"/>
            <color theme="1"/>
            <rFont val="Calibri"/>
            <family val="2"/>
            <scheme val="minor"/>
          </rPr>
          <t>Seleccionar un valor del listado</t>
        </r>
      </text>
    </comment>
    <comment ref="D5342" authorId="2">
      <text>
        <r>
          <rPr>
            <sz val="11"/>
            <color theme="1"/>
            <rFont val="Calibri"/>
            <family val="2"/>
            <scheme val="minor"/>
          </rPr>
          <t>Seleccione el tipo de procedimiento</t>
        </r>
      </text>
    </comment>
    <comment ref="E5342" authorId="2">
      <text>
        <r>
          <rPr>
            <sz val="11"/>
            <color theme="1"/>
            <rFont val="Calibri"/>
            <family val="2"/>
            <scheme val="minor"/>
          </rPr>
          <t>Seleccione un valor de la lista</t>
        </r>
      </text>
    </comment>
    <comment ref="F5342" authorId="2">
      <text>
        <r>
          <rPr>
            <sz val="11"/>
            <color theme="1"/>
            <rFont val="Calibri"/>
            <family val="2"/>
            <scheme val="minor"/>
          </rPr>
          <t>Introduzca el código SNIP</t>
        </r>
      </text>
    </comment>
    <comment ref="C5343" authorId="2">
      <text>
        <r>
          <rPr>
            <sz val="11"/>
            <color theme="1"/>
            <rFont val="Calibri"/>
            <family val="2"/>
            <scheme val="minor"/>
          </rPr>
          <t>Introduzca la fecha de inicio del proceso, en formato dd-mm-aaaa</t>
        </r>
      </text>
    </comment>
    <comment ref="F53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4" authorId="2">
      <text/>
    </comment>
    <comment ref="C5345" authorId="2">
      <text>
        <r>
          <rPr>
            <sz val="11"/>
            <color theme="1"/>
            <rFont val="Calibri"/>
            <family val="2"/>
            <scheme val="minor"/>
          </rPr>
          <t>Introduzca la fecha prevista de adjudicación, en formato dd-mm-aaaa</t>
        </r>
      </text>
    </comment>
    <comment ref="F5345" authorId="2">
      <text/>
    </comment>
    <comment ref="F5346" authorId="2">
      <text/>
    </comment>
    <comment ref="A5348" authorId="2">
      <text>
        <r>
          <rPr>
            <sz val="11"/>
            <color theme="1"/>
            <rFont val="Calibri"/>
            <family val="2"/>
            <scheme val="minor"/>
          </rPr>
          <t>Introduzca un codigo UNSPSC</t>
        </r>
      </text>
    </comment>
    <comment ref="B5348" authorId="2">
      <text>
        <r>
          <rPr>
            <sz val="11"/>
            <color theme="1"/>
            <rFont val="Calibri"/>
            <family val="2"/>
            <scheme val="minor"/>
          </rPr>
          <t>Descripción calculada automáticamente a partir de código del artículo</t>
        </r>
      </text>
    </comment>
    <comment ref="C5348" authorId="2">
      <text>
        <r>
          <rPr>
            <sz val="11"/>
            <color theme="1"/>
            <rFont val="Calibri"/>
            <family val="2"/>
            <scheme val="minor"/>
          </rPr>
          <t>Seleccione un valor de la lista</t>
        </r>
      </text>
    </comment>
    <comment ref="D5348" authorId="2">
      <text>
        <r>
          <rPr>
            <sz val="11"/>
            <color theme="1"/>
            <rFont val="Calibri"/>
            <family val="2"/>
            <scheme val="minor"/>
          </rPr>
          <t>Introduzca un número con dos decimales como máximo. Debe ser igual o mayor a la "Cantidad Real Consumida"</t>
        </r>
      </text>
    </comment>
    <comment ref="E5348" authorId="2">
      <text>
        <r>
          <rPr>
            <sz val="11"/>
            <color theme="1"/>
            <rFont val="Calibri"/>
            <family val="2"/>
            <scheme val="minor"/>
          </rPr>
          <t>Introduzca un número con dos decimales como máximo</t>
        </r>
      </text>
    </comment>
    <comment ref="F5348" authorId="2">
      <text>
        <r>
          <rPr>
            <sz val="11"/>
            <color theme="1"/>
            <rFont val="Calibri"/>
            <family val="2"/>
            <scheme val="minor"/>
          </rPr>
          <t>Monto calculado automáticamente por el sistema</t>
        </r>
      </text>
    </comment>
    <comment ref="A5354" authorId="2">
      <text>
        <r>
          <rPr>
            <sz val="11"/>
            <color theme="1"/>
            <rFont val="Calibri"/>
            <family val="2"/>
            <scheme val="minor"/>
          </rPr>
          <t>Introducir un texto con el nombre o referencia de la contratación</t>
        </r>
      </text>
    </comment>
    <comment ref="B5354" authorId="2">
      <text>
        <r>
          <rPr>
            <sz val="11"/>
            <color theme="1"/>
            <rFont val="Calibri"/>
            <family val="2"/>
            <scheme val="minor"/>
          </rPr>
          <t>Introduzca un texto con la finalidad de la contratación</t>
        </r>
      </text>
    </comment>
    <comment ref="C5354" authorId="2">
      <text>
        <r>
          <rPr>
            <sz val="11"/>
            <color theme="1"/>
            <rFont val="Calibri"/>
            <family val="2"/>
            <scheme val="minor"/>
          </rPr>
          <t>Seleccionar un valor del listado</t>
        </r>
      </text>
    </comment>
    <comment ref="D5354" authorId="2">
      <text>
        <r>
          <rPr>
            <sz val="11"/>
            <color theme="1"/>
            <rFont val="Calibri"/>
            <family val="2"/>
            <scheme val="minor"/>
          </rPr>
          <t>Seleccione el tipo de procedimiento</t>
        </r>
      </text>
    </comment>
    <comment ref="E5354" authorId="2">
      <text>
        <r>
          <rPr>
            <sz val="11"/>
            <color theme="1"/>
            <rFont val="Calibri"/>
            <family val="2"/>
            <scheme val="minor"/>
          </rPr>
          <t>Seleccione un valor de la lista</t>
        </r>
      </text>
    </comment>
    <comment ref="F5354" authorId="2">
      <text>
        <r>
          <rPr>
            <sz val="11"/>
            <color theme="1"/>
            <rFont val="Calibri"/>
            <family val="2"/>
            <scheme val="minor"/>
          </rPr>
          <t>Introduzca el código SNIP</t>
        </r>
      </text>
    </comment>
    <comment ref="C5355" authorId="2">
      <text>
        <r>
          <rPr>
            <sz val="11"/>
            <color theme="1"/>
            <rFont val="Calibri"/>
            <family val="2"/>
            <scheme val="minor"/>
          </rPr>
          <t>Introduzca la fecha de inicio del proceso, en formato dd-mm-aaaa</t>
        </r>
      </text>
    </comment>
    <comment ref="F53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6" authorId="2">
      <text/>
    </comment>
    <comment ref="C5357" authorId="2">
      <text>
        <r>
          <rPr>
            <sz val="11"/>
            <color theme="1"/>
            <rFont val="Calibri"/>
            <family val="2"/>
            <scheme val="minor"/>
          </rPr>
          <t>Introduzca la fecha prevista de adjudicación, en formato dd-mm-aaaa</t>
        </r>
      </text>
    </comment>
    <comment ref="F5357" authorId="2">
      <text/>
    </comment>
    <comment ref="F5358" authorId="2">
      <text/>
    </comment>
    <comment ref="A5360" authorId="2">
      <text>
        <r>
          <rPr>
            <sz val="11"/>
            <color theme="1"/>
            <rFont val="Calibri"/>
            <family val="2"/>
            <scheme val="minor"/>
          </rPr>
          <t>Introduzca un codigo UNSPSC</t>
        </r>
      </text>
    </comment>
    <comment ref="B5360" authorId="2">
      <text>
        <r>
          <rPr>
            <sz val="11"/>
            <color theme="1"/>
            <rFont val="Calibri"/>
            <family val="2"/>
            <scheme val="minor"/>
          </rPr>
          <t>Descripción calculada automáticamente a partir de código del artículo</t>
        </r>
      </text>
    </comment>
    <comment ref="C5360" authorId="2">
      <text>
        <r>
          <rPr>
            <sz val="11"/>
            <color theme="1"/>
            <rFont val="Calibri"/>
            <family val="2"/>
            <scheme val="minor"/>
          </rPr>
          <t>Seleccione un valor de la lista</t>
        </r>
      </text>
    </comment>
    <comment ref="D5360" authorId="2">
      <text>
        <r>
          <rPr>
            <sz val="11"/>
            <color theme="1"/>
            <rFont val="Calibri"/>
            <family val="2"/>
            <scheme val="minor"/>
          </rPr>
          <t>Introduzca un número con dos decimales como máximo. Debe ser igual o mayor a la "Cantidad Real Consumida"</t>
        </r>
      </text>
    </comment>
    <comment ref="E5360" authorId="2">
      <text>
        <r>
          <rPr>
            <sz val="11"/>
            <color theme="1"/>
            <rFont val="Calibri"/>
            <family val="2"/>
            <scheme val="minor"/>
          </rPr>
          <t>Introduzca un número con dos decimales como máximo</t>
        </r>
      </text>
    </comment>
    <comment ref="F5360" authorId="2">
      <text>
        <r>
          <rPr>
            <sz val="11"/>
            <color theme="1"/>
            <rFont val="Calibri"/>
            <family val="2"/>
            <scheme val="minor"/>
          </rPr>
          <t>Monto calculado automáticamente por el sistema</t>
        </r>
      </text>
    </comment>
    <comment ref="A5382" authorId="2">
      <text>
        <r>
          <rPr>
            <sz val="11"/>
            <color theme="1"/>
            <rFont val="Calibri"/>
            <family val="2"/>
            <scheme val="minor"/>
          </rPr>
          <t>Introducir un texto con el nombre o referencia de la contratación</t>
        </r>
      </text>
    </comment>
    <comment ref="B5382" authorId="2">
      <text>
        <r>
          <rPr>
            <sz val="11"/>
            <color theme="1"/>
            <rFont val="Calibri"/>
            <family val="2"/>
            <scheme val="minor"/>
          </rPr>
          <t>Introduzca un texto con la finalidad de la contratación</t>
        </r>
      </text>
    </comment>
    <comment ref="C5382" authorId="2">
      <text>
        <r>
          <rPr>
            <sz val="11"/>
            <color theme="1"/>
            <rFont val="Calibri"/>
            <family val="2"/>
            <scheme val="minor"/>
          </rPr>
          <t>Seleccionar un valor del listado</t>
        </r>
      </text>
    </comment>
    <comment ref="D5382" authorId="2">
      <text>
        <r>
          <rPr>
            <sz val="11"/>
            <color theme="1"/>
            <rFont val="Calibri"/>
            <family val="2"/>
            <scheme val="minor"/>
          </rPr>
          <t>Seleccione el tipo de procedimiento</t>
        </r>
      </text>
    </comment>
    <comment ref="E5382" authorId="2">
      <text>
        <r>
          <rPr>
            <sz val="11"/>
            <color theme="1"/>
            <rFont val="Calibri"/>
            <family val="2"/>
            <scheme val="minor"/>
          </rPr>
          <t>Seleccione un valor de la lista</t>
        </r>
      </text>
    </comment>
    <comment ref="F5382" authorId="2">
      <text>
        <r>
          <rPr>
            <sz val="11"/>
            <color theme="1"/>
            <rFont val="Calibri"/>
            <family val="2"/>
            <scheme val="minor"/>
          </rPr>
          <t>Introduzca el código SNIP</t>
        </r>
      </text>
    </comment>
    <comment ref="C5383" authorId="2">
      <text>
        <r>
          <rPr>
            <sz val="11"/>
            <color theme="1"/>
            <rFont val="Calibri"/>
            <family val="2"/>
            <scheme val="minor"/>
          </rPr>
          <t>Introduzca la fecha de inicio del proceso, en formato dd-mm-aaaa</t>
        </r>
      </text>
    </comment>
    <comment ref="F53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4" authorId="2">
      <text/>
    </comment>
    <comment ref="C5385" authorId="2">
      <text>
        <r>
          <rPr>
            <sz val="11"/>
            <color theme="1"/>
            <rFont val="Calibri"/>
            <family val="2"/>
            <scheme val="minor"/>
          </rPr>
          <t>Introduzca la fecha prevista de adjudicación, en formato dd-mm-aaaa</t>
        </r>
      </text>
    </comment>
    <comment ref="F5385" authorId="2">
      <text/>
    </comment>
    <comment ref="F5386" authorId="2">
      <text/>
    </comment>
    <comment ref="A5388" authorId="2">
      <text>
        <r>
          <rPr>
            <sz val="11"/>
            <color theme="1"/>
            <rFont val="Calibri"/>
            <family val="2"/>
            <scheme val="minor"/>
          </rPr>
          <t>Introduzca un codigo UNSPSC</t>
        </r>
      </text>
    </comment>
    <comment ref="B5388" authorId="2">
      <text>
        <r>
          <rPr>
            <sz val="11"/>
            <color theme="1"/>
            <rFont val="Calibri"/>
            <family val="2"/>
            <scheme val="minor"/>
          </rPr>
          <t>Descripción calculada automáticamente a partir de código del artículo</t>
        </r>
      </text>
    </comment>
    <comment ref="C5388" authorId="2">
      <text>
        <r>
          <rPr>
            <sz val="11"/>
            <color theme="1"/>
            <rFont val="Calibri"/>
            <family val="2"/>
            <scheme val="minor"/>
          </rPr>
          <t>Seleccione un valor de la lista</t>
        </r>
      </text>
    </comment>
    <comment ref="D5388" authorId="2">
      <text>
        <r>
          <rPr>
            <sz val="11"/>
            <color theme="1"/>
            <rFont val="Calibri"/>
            <family val="2"/>
            <scheme val="minor"/>
          </rPr>
          <t>Introduzca un número con dos decimales como máximo. Debe ser igual o mayor a la "Cantidad Real Consumida"</t>
        </r>
      </text>
    </comment>
    <comment ref="E5388" authorId="2">
      <text>
        <r>
          <rPr>
            <sz val="11"/>
            <color theme="1"/>
            <rFont val="Calibri"/>
            <family val="2"/>
            <scheme val="minor"/>
          </rPr>
          <t>Introduzca un número con dos decimales como máximo</t>
        </r>
      </text>
    </comment>
    <comment ref="F5388" authorId="2">
      <text>
        <r>
          <rPr>
            <sz val="11"/>
            <color theme="1"/>
            <rFont val="Calibri"/>
            <family val="2"/>
            <scheme val="minor"/>
          </rPr>
          <t>Monto calculado automáticamente por el sistema</t>
        </r>
      </text>
    </comment>
    <comment ref="A5394" authorId="2">
      <text>
        <r>
          <rPr>
            <sz val="11"/>
            <color theme="1"/>
            <rFont val="Calibri"/>
            <family val="2"/>
            <scheme val="minor"/>
          </rPr>
          <t>Introducir un texto con el nombre o referencia de la contratación</t>
        </r>
      </text>
    </comment>
    <comment ref="B5394" authorId="2">
      <text>
        <r>
          <rPr>
            <sz val="11"/>
            <color theme="1"/>
            <rFont val="Calibri"/>
            <family val="2"/>
            <scheme val="minor"/>
          </rPr>
          <t>Introduzca un texto con la finalidad de la contratación</t>
        </r>
      </text>
    </comment>
    <comment ref="C5394" authorId="2">
      <text>
        <r>
          <rPr>
            <sz val="11"/>
            <color theme="1"/>
            <rFont val="Calibri"/>
            <family val="2"/>
            <scheme val="minor"/>
          </rPr>
          <t>Seleccionar un valor del listado</t>
        </r>
      </text>
    </comment>
    <comment ref="D5394" authorId="2">
      <text>
        <r>
          <rPr>
            <sz val="11"/>
            <color theme="1"/>
            <rFont val="Calibri"/>
            <family val="2"/>
            <scheme val="minor"/>
          </rPr>
          <t>Seleccione el tipo de procedimiento</t>
        </r>
      </text>
    </comment>
    <comment ref="E5394" authorId="2">
      <text>
        <r>
          <rPr>
            <sz val="11"/>
            <color theme="1"/>
            <rFont val="Calibri"/>
            <family val="2"/>
            <scheme val="minor"/>
          </rPr>
          <t>Seleccione un valor de la lista</t>
        </r>
      </text>
    </comment>
    <comment ref="F5394" authorId="2">
      <text>
        <r>
          <rPr>
            <sz val="11"/>
            <color theme="1"/>
            <rFont val="Calibri"/>
            <family val="2"/>
            <scheme val="minor"/>
          </rPr>
          <t>Introduzca el código SNIP</t>
        </r>
      </text>
    </comment>
    <comment ref="C5395" authorId="2">
      <text>
        <r>
          <rPr>
            <sz val="11"/>
            <color theme="1"/>
            <rFont val="Calibri"/>
            <family val="2"/>
            <scheme val="minor"/>
          </rPr>
          <t>Introduzca la fecha de inicio del proceso, en formato dd-mm-aaaa</t>
        </r>
      </text>
    </comment>
    <comment ref="F53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6" authorId="2">
      <text/>
    </comment>
    <comment ref="C5397" authorId="2">
      <text>
        <r>
          <rPr>
            <sz val="11"/>
            <color theme="1"/>
            <rFont val="Calibri"/>
            <family val="2"/>
            <scheme val="minor"/>
          </rPr>
          <t>Introduzca la fecha prevista de adjudicación, en formato dd-mm-aaaa</t>
        </r>
      </text>
    </comment>
    <comment ref="F5397" authorId="2">
      <text/>
    </comment>
    <comment ref="F5398" authorId="2">
      <text/>
    </comment>
    <comment ref="A5400" authorId="2">
      <text>
        <r>
          <rPr>
            <sz val="11"/>
            <color theme="1"/>
            <rFont val="Calibri"/>
            <family val="2"/>
            <scheme val="minor"/>
          </rPr>
          <t>Introduzca un codigo UNSPSC</t>
        </r>
      </text>
    </comment>
    <comment ref="B5400" authorId="2">
      <text>
        <r>
          <rPr>
            <sz val="11"/>
            <color theme="1"/>
            <rFont val="Calibri"/>
            <family val="2"/>
            <scheme val="minor"/>
          </rPr>
          <t>Descripción calculada automáticamente a partir de código del artículo</t>
        </r>
      </text>
    </comment>
    <comment ref="C5400" authorId="2">
      <text>
        <r>
          <rPr>
            <sz val="11"/>
            <color theme="1"/>
            <rFont val="Calibri"/>
            <family val="2"/>
            <scheme val="minor"/>
          </rPr>
          <t>Seleccione un valor de la lista</t>
        </r>
      </text>
    </comment>
    <comment ref="D5400" authorId="2">
      <text>
        <r>
          <rPr>
            <sz val="11"/>
            <color theme="1"/>
            <rFont val="Calibri"/>
            <family val="2"/>
            <scheme val="minor"/>
          </rPr>
          <t>Introduzca un número con dos decimales como máximo. Debe ser igual o mayor a la "Cantidad Real Consumida"</t>
        </r>
      </text>
    </comment>
    <comment ref="E5400" authorId="2">
      <text>
        <r>
          <rPr>
            <sz val="11"/>
            <color theme="1"/>
            <rFont val="Calibri"/>
            <family val="2"/>
            <scheme val="minor"/>
          </rPr>
          <t>Introduzca un número con dos decimales como máximo</t>
        </r>
      </text>
    </comment>
    <comment ref="F5400" authorId="2">
      <text>
        <r>
          <rPr>
            <sz val="11"/>
            <color theme="1"/>
            <rFont val="Calibri"/>
            <family val="2"/>
            <scheme val="minor"/>
          </rPr>
          <t>Monto calculado automáticamente por el sistema</t>
        </r>
      </text>
    </comment>
    <comment ref="A5405" authorId="2">
      <text>
        <r>
          <rPr>
            <sz val="11"/>
            <color theme="1"/>
            <rFont val="Calibri"/>
            <family val="2"/>
            <scheme val="minor"/>
          </rPr>
          <t>Introducir un texto con el nombre o referencia de la contratación</t>
        </r>
      </text>
    </comment>
    <comment ref="B5405" authorId="2">
      <text>
        <r>
          <rPr>
            <sz val="11"/>
            <color theme="1"/>
            <rFont val="Calibri"/>
            <family val="2"/>
            <scheme val="minor"/>
          </rPr>
          <t>Introduzca un texto con la finalidad de la contratación</t>
        </r>
      </text>
    </comment>
    <comment ref="C5405" authorId="2">
      <text>
        <r>
          <rPr>
            <sz val="11"/>
            <color theme="1"/>
            <rFont val="Calibri"/>
            <family val="2"/>
            <scheme val="minor"/>
          </rPr>
          <t>Seleccionar un valor del listado</t>
        </r>
      </text>
    </comment>
    <comment ref="D5405" authorId="2">
      <text>
        <r>
          <rPr>
            <sz val="11"/>
            <color theme="1"/>
            <rFont val="Calibri"/>
            <family val="2"/>
            <scheme val="minor"/>
          </rPr>
          <t>Seleccione el tipo de procedimiento</t>
        </r>
      </text>
    </comment>
    <comment ref="E5405" authorId="2">
      <text>
        <r>
          <rPr>
            <sz val="11"/>
            <color theme="1"/>
            <rFont val="Calibri"/>
            <family val="2"/>
            <scheme val="minor"/>
          </rPr>
          <t>Seleccione un valor de la lista</t>
        </r>
      </text>
    </comment>
    <comment ref="F5405" authorId="2">
      <text>
        <r>
          <rPr>
            <sz val="11"/>
            <color theme="1"/>
            <rFont val="Calibri"/>
            <family val="2"/>
            <scheme val="minor"/>
          </rPr>
          <t>Introduzca el código SNIP</t>
        </r>
      </text>
    </comment>
    <comment ref="C5406" authorId="2">
      <text>
        <r>
          <rPr>
            <sz val="11"/>
            <color theme="1"/>
            <rFont val="Calibri"/>
            <family val="2"/>
            <scheme val="minor"/>
          </rPr>
          <t>Introduzca la fecha de inicio del proceso, en formato dd-mm-aaaa</t>
        </r>
      </text>
    </comment>
    <comment ref="F540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7" authorId="2">
      <text/>
    </comment>
    <comment ref="C5408" authorId="2">
      <text>
        <r>
          <rPr>
            <sz val="11"/>
            <color theme="1"/>
            <rFont val="Calibri"/>
            <family val="2"/>
            <scheme val="minor"/>
          </rPr>
          <t>Introduzca la fecha prevista de adjudicación, en formato dd-mm-aaaa</t>
        </r>
      </text>
    </comment>
    <comment ref="F5408" authorId="2">
      <text/>
    </comment>
    <comment ref="F5409" authorId="2">
      <text/>
    </comment>
    <comment ref="A5411" authorId="2">
      <text>
        <r>
          <rPr>
            <sz val="11"/>
            <color theme="1"/>
            <rFont val="Calibri"/>
            <family val="2"/>
            <scheme val="minor"/>
          </rPr>
          <t>Introduzca un codigo UNSPSC</t>
        </r>
      </text>
    </comment>
    <comment ref="B5411" authorId="2">
      <text>
        <r>
          <rPr>
            <sz val="11"/>
            <color theme="1"/>
            <rFont val="Calibri"/>
            <family val="2"/>
            <scheme val="minor"/>
          </rPr>
          <t>Descripción calculada automáticamente a partir de código del artículo</t>
        </r>
      </text>
    </comment>
    <comment ref="C5411" authorId="2">
      <text>
        <r>
          <rPr>
            <sz val="11"/>
            <color theme="1"/>
            <rFont val="Calibri"/>
            <family val="2"/>
            <scheme val="minor"/>
          </rPr>
          <t>Seleccione un valor de la lista</t>
        </r>
      </text>
    </comment>
    <comment ref="D5411" authorId="2">
      <text>
        <r>
          <rPr>
            <sz val="11"/>
            <color theme="1"/>
            <rFont val="Calibri"/>
            <family val="2"/>
            <scheme val="minor"/>
          </rPr>
          <t>Introduzca un número con dos decimales como máximo. Debe ser igual o mayor a la "Cantidad Real Consumida"</t>
        </r>
      </text>
    </comment>
    <comment ref="E5411" authorId="2">
      <text>
        <r>
          <rPr>
            <sz val="11"/>
            <color theme="1"/>
            <rFont val="Calibri"/>
            <family val="2"/>
            <scheme val="minor"/>
          </rPr>
          <t>Introduzca un número con dos decimales como máximo</t>
        </r>
      </text>
    </comment>
    <comment ref="F5411" authorId="2">
      <text>
        <r>
          <rPr>
            <sz val="11"/>
            <color theme="1"/>
            <rFont val="Calibri"/>
            <family val="2"/>
            <scheme val="minor"/>
          </rPr>
          <t>Monto calculado automáticamente por el sistema</t>
        </r>
      </text>
    </comment>
    <comment ref="A5433" authorId="2">
      <text>
        <r>
          <rPr>
            <sz val="11"/>
            <color theme="1"/>
            <rFont val="Calibri"/>
            <family val="2"/>
            <scheme val="minor"/>
          </rPr>
          <t>Introducir un texto con el nombre o referencia de la contratación</t>
        </r>
      </text>
    </comment>
    <comment ref="B5433" authorId="2">
      <text>
        <r>
          <rPr>
            <sz val="11"/>
            <color theme="1"/>
            <rFont val="Calibri"/>
            <family val="2"/>
            <scheme val="minor"/>
          </rPr>
          <t>Introduzca un texto con la finalidad de la contratación</t>
        </r>
      </text>
    </comment>
    <comment ref="C5433" authorId="2">
      <text>
        <r>
          <rPr>
            <sz val="11"/>
            <color theme="1"/>
            <rFont val="Calibri"/>
            <family val="2"/>
            <scheme val="minor"/>
          </rPr>
          <t>Seleccionar un valor del listado</t>
        </r>
      </text>
    </comment>
    <comment ref="D5433" authorId="2">
      <text>
        <r>
          <rPr>
            <sz val="11"/>
            <color theme="1"/>
            <rFont val="Calibri"/>
            <family val="2"/>
            <scheme val="minor"/>
          </rPr>
          <t>Seleccione el tipo de procedimiento</t>
        </r>
      </text>
    </comment>
    <comment ref="E5433" authorId="2">
      <text>
        <r>
          <rPr>
            <sz val="11"/>
            <color theme="1"/>
            <rFont val="Calibri"/>
            <family val="2"/>
            <scheme val="minor"/>
          </rPr>
          <t>Seleccione un valor de la lista</t>
        </r>
      </text>
    </comment>
    <comment ref="F5433" authorId="2">
      <text>
        <r>
          <rPr>
            <sz val="11"/>
            <color theme="1"/>
            <rFont val="Calibri"/>
            <family val="2"/>
            <scheme val="minor"/>
          </rPr>
          <t>Introduzca el código SNIP</t>
        </r>
      </text>
    </comment>
    <comment ref="C5434" authorId="2">
      <text>
        <r>
          <rPr>
            <sz val="11"/>
            <color theme="1"/>
            <rFont val="Calibri"/>
            <family val="2"/>
            <scheme val="minor"/>
          </rPr>
          <t>Introduzca la fecha de inicio del proceso, en formato dd-mm-aaaa</t>
        </r>
      </text>
    </comment>
    <comment ref="F54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5" authorId="2">
      <text/>
    </comment>
    <comment ref="C5436" authorId="2">
      <text>
        <r>
          <rPr>
            <sz val="11"/>
            <color theme="1"/>
            <rFont val="Calibri"/>
            <family val="2"/>
            <scheme val="minor"/>
          </rPr>
          <t>Introduzca la fecha prevista de adjudicación, en formato dd-mm-aaaa</t>
        </r>
      </text>
    </comment>
    <comment ref="F5436" authorId="2">
      <text/>
    </comment>
    <comment ref="F5437" authorId="2">
      <text/>
    </comment>
    <comment ref="A5439" authorId="2">
      <text>
        <r>
          <rPr>
            <sz val="11"/>
            <color theme="1"/>
            <rFont val="Calibri"/>
            <family val="2"/>
            <scheme val="minor"/>
          </rPr>
          <t>Introduzca un codigo UNSPSC</t>
        </r>
      </text>
    </comment>
    <comment ref="B5439" authorId="2">
      <text>
        <r>
          <rPr>
            <sz val="11"/>
            <color theme="1"/>
            <rFont val="Calibri"/>
            <family val="2"/>
            <scheme val="minor"/>
          </rPr>
          <t>Descripción calculada automáticamente a partir de código del artículo</t>
        </r>
      </text>
    </comment>
    <comment ref="C5439" authorId="2">
      <text>
        <r>
          <rPr>
            <sz val="11"/>
            <color theme="1"/>
            <rFont val="Calibri"/>
            <family val="2"/>
            <scheme val="minor"/>
          </rPr>
          <t>Seleccione un valor de la lista</t>
        </r>
      </text>
    </comment>
    <comment ref="D5439" authorId="2">
      <text>
        <r>
          <rPr>
            <sz val="11"/>
            <color theme="1"/>
            <rFont val="Calibri"/>
            <family val="2"/>
            <scheme val="minor"/>
          </rPr>
          <t>Introduzca un número con dos decimales como máximo. Debe ser igual o mayor a la "Cantidad Real Consumida"</t>
        </r>
      </text>
    </comment>
    <comment ref="E5439" authorId="2">
      <text>
        <r>
          <rPr>
            <sz val="11"/>
            <color theme="1"/>
            <rFont val="Calibri"/>
            <family val="2"/>
            <scheme val="minor"/>
          </rPr>
          <t>Introduzca un número con dos decimales como máximo</t>
        </r>
      </text>
    </comment>
    <comment ref="F5439" authorId="2">
      <text>
        <r>
          <rPr>
            <sz val="11"/>
            <color theme="1"/>
            <rFont val="Calibri"/>
            <family val="2"/>
            <scheme val="minor"/>
          </rPr>
          <t>Monto calculado automáticamente por el sistema</t>
        </r>
      </text>
    </comment>
    <comment ref="A5444" authorId="2">
      <text>
        <r>
          <rPr>
            <sz val="11"/>
            <color theme="1"/>
            <rFont val="Calibri"/>
            <family val="2"/>
            <scheme val="minor"/>
          </rPr>
          <t>Introducir un texto con el nombre o referencia de la contratación</t>
        </r>
      </text>
    </comment>
    <comment ref="B5444" authorId="2">
      <text>
        <r>
          <rPr>
            <sz val="11"/>
            <color theme="1"/>
            <rFont val="Calibri"/>
            <family val="2"/>
            <scheme val="minor"/>
          </rPr>
          <t>Introduzca un texto con la finalidad de la contratación</t>
        </r>
      </text>
    </comment>
    <comment ref="C5444" authorId="2">
      <text>
        <r>
          <rPr>
            <sz val="11"/>
            <color theme="1"/>
            <rFont val="Calibri"/>
            <family val="2"/>
            <scheme val="minor"/>
          </rPr>
          <t>Seleccionar un valor del listado</t>
        </r>
      </text>
    </comment>
    <comment ref="D5444" authorId="2">
      <text>
        <r>
          <rPr>
            <sz val="11"/>
            <color theme="1"/>
            <rFont val="Calibri"/>
            <family val="2"/>
            <scheme val="minor"/>
          </rPr>
          <t>Seleccione el tipo de procedimiento</t>
        </r>
      </text>
    </comment>
    <comment ref="E5444" authorId="2">
      <text>
        <r>
          <rPr>
            <sz val="11"/>
            <color theme="1"/>
            <rFont val="Calibri"/>
            <family val="2"/>
            <scheme val="minor"/>
          </rPr>
          <t>Seleccione un valor de la lista</t>
        </r>
      </text>
    </comment>
    <comment ref="F5444" authorId="2">
      <text>
        <r>
          <rPr>
            <sz val="11"/>
            <color theme="1"/>
            <rFont val="Calibri"/>
            <family val="2"/>
            <scheme val="minor"/>
          </rPr>
          <t>Introduzca el código SNIP</t>
        </r>
      </text>
    </comment>
    <comment ref="C5445" authorId="2">
      <text>
        <r>
          <rPr>
            <sz val="11"/>
            <color theme="1"/>
            <rFont val="Calibri"/>
            <family val="2"/>
            <scheme val="minor"/>
          </rPr>
          <t>Introduzca la fecha de inicio del proceso, en formato dd-mm-aaaa</t>
        </r>
      </text>
    </comment>
    <comment ref="F54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6" authorId="2">
      <text/>
    </comment>
    <comment ref="C5447" authorId="2">
      <text>
        <r>
          <rPr>
            <sz val="11"/>
            <color theme="1"/>
            <rFont val="Calibri"/>
            <family val="2"/>
            <scheme val="minor"/>
          </rPr>
          <t>Introduzca la fecha prevista de adjudicación, en formato dd-mm-aaaa</t>
        </r>
      </text>
    </comment>
    <comment ref="F5447" authorId="2">
      <text/>
    </comment>
    <comment ref="F5448" authorId="2">
      <text/>
    </comment>
    <comment ref="A5450" authorId="2">
      <text>
        <r>
          <rPr>
            <sz val="11"/>
            <color theme="1"/>
            <rFont val="Calibri"/>
            <family val="2"/>
            <scheme val="minor"/>
          </rPr>
          <t>Introduzca un codigo UNSPSC</t>
        </r>
      </text>
    </comment>
    <comment ref="B5450" authorId="2">
      <text>
        <r>
          <rPr>
            <sz val="11"/>
            <color theme="1"/>
            <rFont val="Calibri"/>
            <family val="2"/>
            <scheme val="minor"/>
          </rPr>
          <t>Descripción calculada automáticamente a partir de código del artículo</t>
        </r>
      </text>
    </comment>
    <comment ref="C5450" authorId="2">
      <text>
        <r>
          <rPr>
            <sz val="11"/>
            <color theme="1"/>
            <rFont val="Calibri"/>
            <family val="2"/>
            <scheme val="minor"/>
          </rPr>
          <t>Seleccione un valor de la lista</t>
        </r>
      </text>
    </comment>
    <comment ref="D5450" authorId="2">
      <text>
        <r>
          <rPr>
            <sz val="11"/>
            <color theme="1"/>
            <rFont val="Calibri"/>
            <family val="2"/>
            <scheme val="minor"/>
          </rPr>
          <t>Introduzca un número con dos decimales como máximo. Debe ser igual o mayor a la "Cantidad Real Consumida"</t>
        </r>
      </text>
    </comment>
    <comment ref="E5450" authorId="2">
      <text>
        <r>
          <rPr>
            <sz val="11"/>
            <color theme="1"/>
            <rFont val="Calibri"/>
            <family val="2"/>
            <scheme val="minor"/>
          </rPr>
          <t>Introduzca un número con dos decimales como máximo</t>
        </r>
      </text>
    </comment>
    <comment ref="F5450" authorId="2">
      <text>
        <r>
          <rPr>
            <sz val="11"/>
            <color theme="1"/>
            <rFont val="Calibri"/>
            <family val="2"/>
            <scheme val="minor"/>
          </rPr>
          <t>Monto calculado automáticamente por el sistema</t>
        </r>
      </text>
    </comment>
    <comment ref="A5472" authorId="2">
      <text>
        <r>
          <rPr>
            <sz val="11"/>
            <color theme="1"/>
            <rFont val="Calibri"/>
            <family val="2"/>
            <scheme val="minor"/>
          </rPr>
          <t>Introducir un texto con el nombre o referencia de la contratación</t>
        </r>
      </text>
    </comment>
    <comment ref="B5472" authorId="2">
      <text>
        <r>
          <rPr>
            <sz val="11"/>
            <color theme="1"/>
            <rFont val="Calibri"/>
            <family val="2"/>
            <scheme val="minor"/>
          </rPr>
          <t>Introduzca un texto con la finalidad de la contratación</t>
        </r>
      </text>
    </comment>
    <comment ref="C5472" authorId="2">
      <text>
        <r>
          <rPr>
            <sz val="11"/>
            <color theme="1"/>
            <rFont val="Calibri"/>
            <family val="2"/>
            <scheme val="minor"/>
          </rPr>
          <t>Seleccionar un valor del listado</t>
        </r>
      </text>
    </comment>
    <comment ref="D5472" authorId="2">
      <text>
        <r>
          <rPr>
            <sz val="11"/>
            <color theme="1"/>
            <rFont val="Calibri"/>
            <family val="2"/>
            <scheme val="minor"/>
          </rPr>
          <t>Seleccione el tipo de procedimiento</t>
        </r>
      </text>
    </comment>
    <comment ref="E5472" authorId="2">
      <text>
        <r>
          <rPr>
            <sz val="11"/>
            <color theme="1"/>
            <rFont val="Calibri"/>
            <family val="2"/>
            <scheme val="minor"/>
          </rPr>
          <t>Seleccione un valor de la lista</t>
        </r>
      </text>
    </comment>
    <comment ref="F5472" authorId="2">
      <text>
        <r>
          <rPr>
            <sz val="11"/>
            <color theme="1"/>
            <rFont val="Calibri"/>
            <family val="2"/>
            <scheme val="minor"/>
          </rPr>
          <t>Introduzca el código SNIP</t>
        </r>
      </text>
    </comment>
    <comment ref="C5473" authorId="2">
      <text>
        <r>
          <rPr>
            <sz val="11"/>
            <color theme="1"/>
            <rFont val="Calibri"/>
            <family val="2"/>
            <scheme val="minor"/>
          </rPr>
          <t>Introduzca la fecha de inicio del proceso, en formato dd-mm-aaaa</t>
        </r>
      </text>
    </comment>
    <comment ref="F54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4" authorId="2">
      <text/>
    </comment>
    <comment ref="C5475" authorId="2">
      <text>
        <r>
          <rPr>
            <sz val="11"/>
            <color theme="1"/>
            <rFont val="Calibri"/>
            <family val="2"/>
            <scheme val="minor"/>
          </rPr>
          <t>Introduzca la fecha prevista de adjudicación, en formato dd-mm-aaaa</t>
        </r>
      </text>
    </comment>
    <comment ref="F5475" authorId="2">
      <text/>
    </comment>
    <comment ref="F5476" authorId="2">
      <text/>
    </comment>
    <comment ref="A5478" authorId="2">
      <text>
        <r>
          <rPr>
            <sz val="11"/>
            <color theme="1"/>
            <rFont val="Calibri"/>
            <family val="2"/>
            <scheme val="minor"/>
          </rPr>
          <t>Introduzca un codigo UNSPSC</t>
        </r>
      </text>
    </comment>
    <comment ref="B5478" authorId="2">
      <text>
        <r>
          <rPr>
            <sz val="11"/>
            <color theme="1"/>
            <rFont val="Calibri"/>
            <family val="2"/>
            <scheme val="minor"/>
          </rPr>
          <t>Descripción calculada automáticamente a partir de código del artículo</t>
        </r>
      </text>
    </comment>
    <comment ref="C5478" authorId="2">
      <text>
        <r>
          <rPr>
            <sz val="11"/>
            <color theme="1"/>
            <rFont val="Calibri"/>
            <family val="2"/>
            <scheme val="minor"/>
          </rPr>
          <t>Seleccione un valor de la lista</t>
        </r>
      </text>
    </comment>
    <comment ref="D5478" authorId="2">
      <text>
        <r>
          <rPr>
            <sz val="11"/>
            <color theme="1"/>
            <rFont val="Calibri"/>
            <family val="2"/>
            <scheme val="minor"/>
          </rPr>
          <t>Introduzca un número con dos decimales como máximo. Debe ser igual o mayor a la "Cantidad Real Consumida"</t>
        </r>
      </text>
    </comment>
    <comment ref="E5478" authorId="2">
      <text>
        <r>
          <rPr>
            <sz val="11"/>
            <color theme="1"/>
            <rFont val="Calibri"/>
            <family val="2"/>
            <scheme val="minor"/>
          </rPr>
          <t>Introduzca un número con dos decimales como máximo</t>
        </r>
      </text>
    </comment>
    <comment ref="F5478" authorId="2">
      <text>
        <r>
          <rPr>
            <sz val="11"/>
            <color theme="1"/>
            <rFont val="Calibri"/>
            <family val="2"/>
            <scheme val="minor"/>
          </rPr>
          <t>Monto calculado automáticamente por el sistema</t>
        </r>
      </text>
    </comment>
    <comment ref="A5483" authorId="2">
      <text>
        <r>
          <rPr>
            <sz val="11"/>
            <color theme="1"/>
            <rFont val="Calibri"/>
            <family val="2"/>
            <scheme val="minor"/>
          </rPr>
          <t>Introducir un texto con el nombre o referencia de la contratación</t>
        </r>
      </text>
    </comment>
    <comment ref="B5483" authorId="2">
      <text>
        <r>
          <rPr>
            <sz val="11"/>
            <color theme="1"/>
            <rFont val="Calibri"/>
            <family val="2"/>
            <scheme val="minor"/>
          </rPr>
          <t>Introduzca un texto con la finalidad de la contratación</t>
        </r>
      </text>
    </comment>
    <comment ref="C5483" authorId="2">
      <text>
        <r>
          <rPr>
            <sz val="11"/>
            <color theme="1"/>
            <rFont val="Calibri"/>
            <family val="2"/>
            <scheme val="minor"/>
          </rPr>
          <t>Seleccionar un valor del listado</t>
        </r>
      </text>
    </comment>
    <comment ref="D5483" authorId="2">
      <text>
        <r>
          <rPr>
            <sz val="11"/>
            <color theme="1"/>
            <rFont val="Calibri"/>
            <family val="2"/>
            <scheme val="minor"/>
          </rPr>
          <t>Seleccione el tipo de procedimiento</t>
        </r>
      </text>
    </comment>
    <comment ref="E5483" authorId="2">
      <text>
        <r>
          <rPr>
            <sz val="11"/>
            <color theme="1"/>
            <rFont val="Calibri"/>
            <family val="2"/>
            <scheme val="minor"/>
          </rPr>
          <t>Seleccione un valor de la lista</t>
        </r>
      </text>
    </comment>
    <comment ref="F5483" authorId="2">
      <text>
        <r>
          <rPr>
            <sz val="11"/>
            <color theme="1"/>
            <rFont val="Calibri"/>
            <family val="2"/>
            <scheme val="minor"/>
          </rPr>
          <t>Introduzca el código SNIP</t>
        </r>
      </text>
    </comment>
    <comment ref="C5484" authorId="2">
      <text>
        <r>
          <rPr>
            <sz val="11"/>
            <color theme="1"/>
            <rFont val="Calibri"/>
            <family val="2"/>
            <scheme val="minor"/>
          </rPr>
          <t>Introduzca la fecha de inicio del proceso, en formato dd-mm-aaaa</t>
        </r>
      </text>
    </comment>
    <comment ref="F54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5" authorId="2">
      <text/>
    </comment>
    <comment ref="C5486" authorId="2">
      <text>
        <r>
          <rPr>
            <sz val="11"/>
            <color theme="1"/>
            <rFont val="Calibri"/>
            <family val="2"/>
            <scheme val="minor"/>
          </rPr>
          <t>Introduzca la fecha prevista de adjudicación, en formato dd-mm-aaaa</t>
        </r>
      </text>
    </comment>
    <comment ref="F5486" authorId="2">
      <text/>
    </comment>
    <comment ref="F5487" authorId="2">
      <text/>
    </comment>
    <comment ref="A5489" authorId="2">
      <text>
        <r>
          <rPr>
            <sz val="11"/>
            <color theme="1"/>
            <rFont val="Calibri"/>
            <family val="2"/>
            <scheme val="minor"/>
          </rPr>
          <t>Introduzca un codigo UNSPSC</t>
        </r>
      </text>
    </comment>
    <comment ref="B5489" authorId="2">
      <text>
        <r>
          <rPr>
            <sz val="11"/>
            <color theme="1"/>
            <rFont val="Calibri"/>
            <family val="2"/>
            <scheme val="minor"/>
          </rPr>
          <t>Descripción calculada automáticamente a partir de código del artículo</t>
        </r>
      </text>
    </comment>
    <comment ref="C5489" authorId="2">
      <text>
        <r>
          <rPr>
            <sz val="11"/>
            <color theme="1"/>
            <rFont val="Calibri"/>
            <family val="2"/>
            <scheme val="minor"/>
          </rPr>
          <t>Seleccione un valor de la lista</t>
        </r>
      </text>
    </comment>
    <comment ref="D5489" authorId="2">
      <text>
        <r>
          <rPr>
            <sz val="11"/>
            <color theme="1"/>
            <rFont val="Calibri"/>
            <family val="2"/>
            <scheme val="minor"/>
          </rPr>
          <t>Introduzca un número con dos decimales como máximo. Debe ser igual o mayor a la "Cantidad Real Consumida"</t>
        </r>
      </text>
    </comment>
    <comment ref="E5489" authorId="2">
      <text>
        <r>
          <rPr>
            <sz val="11"/>
            <color theme="1"/>
            <rFont val="Calibri"/>
            <family val="2"/>
            <scheme val="minor"/>
          </rPr>
          <t>Introduzca un número con dos decimales como máximo</t>
        </r>
      </text>
    </comment>
    <comment ref="F5489" authorId="2">
      <text>
        <r>
          <rPr>
            <sz val="11"/>
            <color theme="1"/>
            <rFont val="Calibri"/>
            <family val="2"/>
            <scheme val="minor"/>
          </rPr>
          <t>Monto calculado automáticamente por el sistema</t>
        </r>
      </text>
    </comment>
    <comment ref="A5511" authorId="2">
      <text>
        <r>
          <rPr>
            <sz val="11"/>
            <color theme="1"/>
            <rFont val="Calibri"/>
            <family val="2"/>
            <scheme val="minor"/>
          </rPr>
          <t>Introducir un texto con el nombre o referencia de la contratación</t>
        </r>
      </text>
    </comment>
    <comment ref="B5511" authorId="2">
      <text>
        <r>
          <rPr>
            <sz val="11"/>
            <color theme="1"/>
            <rFont val="Calibri"/>
            <family val="2"/>
            <scheme val="minor"/>
          </rPr>
          <t>Introduzca un texto con la finalidad de la contratación</t>
        </r>
      </text>
    </comment>
    <comment ref="C5511" authorId="2">
      <text>
        <r>
          <rPr>
            <sz val="11"/>
            <color theme="1"/>
            <rFont val="Calibri"/>
            <family val="2"/>
            <scheme val="minor"/>
          </rPr>
          <t>Seleccionar un valor del listado</t>
        </r>
      </text>
    </comment>
    <comment ref="D5511" authorId="2">
      <text>
        <r>
          <rPr>
            <sz val="11"/>
            <color theme="1"/>
            <rFont val="Calibri"/>
            <family val="2"/>
            <scheme val="minor"/>
          </rPr>
          <t>Seleccione el tipo de procedimiento</t>
        </r>
      </text>
    </comment>
    <comment ref="E5511" authorId="2">
      <text>
        <r>
          <rPr>
            <sz val="11"/>
            <color theme="1"/>
            <rFont val="Calibri"/>
            <family val="2"/>
            <scheme val="minor"/>
          </rPr>
          <t>Seleccione un valor de la lista</t>
        </r>
      </text>
    </comment>
    <comment ref="F5511" authorId="2">
      <text>
        <r>
          <rPr>
            <sz val="11"/>
            <color theme="1"/>
            <rFont val="Calibri"/>
            <family val="2"/>
            <scheme val="minor"/>
          </rPr>
          <t>Introduzca el código SNIP</t>
        </r>
      </text>
    </comment>
    <comment ref="C5512" authorId="2">
      <text>
        <r>
          <rPr>
            <sz val="11"/>
            <color theme="1"/>
            <rFont val="Calibri"/>
            <family val="2"/>
            <scheme val="minor"/>
          </rPr>
          <t>Introduzca la fecha de inicio del proceso, en formato dd-mm-aaaa</t>
        </r>
      </text>
    </comment>
    <comment ref="F55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3" authorId="2">
      <text/>
    </comment>
    <comment ref="C5514" authorId="2">
      <text>
        <r>
          <rPr>
            <sz val="11"/>
            <color theme="1"/>
            <rFont val="Calibri"/>
            <family val="2"/>
            <scheme val="minor"/>
          </rPr>
          <t>Introduzca la fecha prevista de adjudicación, en formato dd-mm-aaaa</t>
        </r>
      </text>
    </comment>
    <comment ref="F5514" authorId="2">
      <text/>
    </comment>
    <comment ref="F5515" authorId="2">
      <text/>
    </comment>
    <comment ref="A5517" authorId="2">
      <text>
        <r>
          <rPr>
            <sz val="11"/>
            <color theme="1"/>
            <rFont val="Calibri"/>
            <family val="2"/>
            <scheme val="minor"/>
          </rPr>
          <t>Introduzca un codigo UNSPSC</t>
        </r>
      </text>
    </comment>
    <comment ref="B5517" authorId="2">
      <text>
        <r>
          <rPr>
            <sz val="11"/>
            <color theme="1"/>
            <rFont val="Calibri"/>
            <family val="2"/>
            <scheme val="minor"/>
          </rPr>
          <t>Descripción calculada automáticamente a partir de código del artículo</t>
        </r>
      </text>
    </comment>
    <comment ref="C5517" authorId="2">
      <text>
        <r>
          <rPr>
            <sz val="11"/>
            <color theme="1"/>
            <rFont val="Calibri"/>
            <family val="2"/>
            <scheme val="minor"/>
          </rPr>
          <t>Seleccione un valor de la lista</t>
        </r>
      </text>
    </comment>
    <comment ref="D5517" authorId="2">
      <text>
        <r>
          <rPr>
            <sz val="11"/>
            <color theme="1"/>
            <rFont val="Calibri"/>
            <family val="2"/>
            <scheme val="minor"/>
          </rPr>
          <t>Introduzca un número con dos decimales como máximo. Debe ser igual o mayor a la "Cantidad Real Consumida"</t>
        </r>
      </text>
    </comment>
    <comment ref="E5517" authorId="2">
      <text>
        <r>
          <rPr>
            <sz val="11"/>
            <color theme="1"/>
            <rFont val="Calibri"/>
            <family val="2"/>
            <scheme val="minor"/>
          </rPr>
          <t>Introduzca un número con dos decimales como máximo</t>
        </r>
      </text>
    </comment>
    <comment ref="F5517" authorId="2">
      <text>
        <r>
          <rPr>
            <sz val="11"/>
            <color theme="1"/>
            <rFont val="Calibri"/>
            <family val="2"/>
            <scheme val="minor"/>
          </rPr>
          <t>Monto calculado automáticamente por el sistema</t>
        </r>
      </text>
    </comment>
    <comment ref="A5523" authorId="2">
      <text>
        <r>
          <rPr>
            <sz val="11"/>
            <color theme="1"/>
            <rFont val="Calibri"/>
            <family val="2"/>
            <scheme val="minor"/>
          </rPr>
          <t>Introducir un texto con el nombre o referencia de la contratación</t>
        </r>
      </text>
    </comment>
    <comment ref="B5523" authorId="2">
      <text>
        <r>
          <rPr>
            <sz val="11"/>
            <color theme="1"/>
            <rFont val="Calibri"/>
            <family val="2"/>
            <scheme val="minor"/>
          </rPr>
          <t>Introduzca un texto con la finalidad de la contratación</t>
        </r>
      </text>
    </comment>
    <comment ref="C5523" authorId="2">
      <text>
        <r>
          <rPr>
            <sz val="11"/>
            <color theme="1"/>
            <rFont val="Calibri"/>
            <family val="2"/>
            <scheme val="minor"/>
          </rPr>
          <t>Seleccionar un valor del listado</t>
        </r>
      </text>
    </comment>
    <comment ref="D5523" authorId="2">
      <text>
        <r>
          <rPr>
            <sz val="11"/>
            <color theme="1"/>
            <rFont val="Calibri"/>
            <family val="2"/>
            <scheme val="minor"/>
          </rPr>
          <t>Seleccione el tipo de procedimiento</t>
        </r>
      </text>
    </comment>
    <comment ref="E5523" authorId="2">
      <text>
        <r>
          <rPr>
            <sz val="11"/>
            <color theme="1"/>
            <rFont val="Calibri"/>
            <family val="2"/>
            <scheme val="minor"/>
          </rPr>
          <t>Seleccione un valor de la lista</t>
        </r>
      </text>
    </comment>
    <comment ref="F5523" authorId="2">
      <text>
        <r>
          <rPr>
            <sz val="11"/>
            <color theme="1"/>
            <rFont val="Calibri"/>
            <family val="2"/>
            <scheme val="minor"/>
          </rPr>
          <t>Introduzca el código SNIP</t>
        </r>
      </text>
    </comment>
    <comment ref="C5524" authorId="2">
      <text>
        <r>
          <rPr>
            <sz val="11"/>
            <color theme="1"/>
            <rFont val="Calibri"/>
            <family val="2"/>
            <scheme val="minor"/>
          </rPr>
          <t>Introduzca la fecha de inicio del proceso, en formato dd-mm-aaaa</t>
        </r>
      </text>
    </comment>
    <comment ref="F55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5" authorId="2">
      <text/>
    </comment>
    <comment ref="C5526" authorId="2">
      <text>
        <r>
          <rPr>
            <sz val="11"/>
            <color theme="1"/>
            <rFont val="Calibri"/>
            <family val="2"/>
            <scheme val="minor"/>
          </rPr>
          <t>Introduzca la fecha prevista de adjudicación, en formato dd-mm-aaaa</t>
        </r>
      </text>
    </comment>
    <comment ref="F5526" authorId="2">
      <text/>
    </comment>
    <comment ref="F5527" authorId="2">
      <text/>
    </comment>
    <comment ref="A5529" authorId="2">
      <text>
        <r>
          <rPr>
            <sz val="11"/>
            <color theme="1"/>
            <rFont val="Calibri"/>
            <family val="2"/>
            <scheme val="minor"/>
          </rPr>
          <t>Introduzca un codigo UNSPSC</t>
        </r>
      </text>
    </comment>
    <comment ref="B5529" authorId="2">
      <text>
        <r>
          <rPr>
            <sz val="11"/>
            <color theme="1"/>
            <rFont val="Calibri"/>
            <family val="2"/>
            <scheme val="minor"/>
          </rPr>
          <t>Descripción calculada automáticamente a partir de código del artículo</t>
        </r>
      </text>
    </comment>
    <comment ref="C5529" authorId="2">
      <text>
        <r>
          <rPr>
            <sz val="11"/>
            <color theme="1"/>
            <rFont val="Calibri"/>
            <family val="2"/>
            <scheme val="minor"/>
          </rPr>
          <t>Seleccione un valor de la lista</t>
        </r>
      </text>
    </comment>
    <comment ref="D5529" authorId="2">
      <text>
        <r>
          <rPr>
            <sz val="11"/>
            <color theme="1"/>
            <rFont val="Calibri"/>
            <family val="2"/>
            <scheme val="minor"/>
          </rPr>
          <t>Introduzca un número con dos decimales como máximo. Debe ser igual o mayor a la "Cantidad Real Consumida"</t>
        </r>
      </text>
    </comment>
    <comment ref="E5529" authorId="2">
      <text>
        <r>
          <rPr>
            <sz val="11"/>
            <color theme="1"/>
            <rFont val="Calibri"/>
            <family val="2"/>
            <scheme val="minor"/>
          </rPr>
          <t>Introduzca un número con dos decimales como máximo</t>
        </r>
      </text>
    </comment>
    <comment ref="F5529" authorId="2">
      <text>
        <r>
          <rPr>
            <sz val="11"/>
            <color theme="1"/>
            <rFont val="Calibri"/>
            <family val="2"/>
            <scheme val="minor"/>
          </rPr>
          <t>Monto calculado automáticamente por el sistema</t>
        </r>
      </text>
    </comment>
    <comment ref="A5534" authorId="2">
      <text>
        <r>
          <rPr>
            <sz val="11"/>
            <color theme="1"/>
            <rFont val="Calibri"/>
            <family val="2"/>
            <scheme val="minor"/>
          </rPr>
          <t>Introducir un texto con el nombre o referencia de la contratación</t>
        </r>
      </text>
    </comment>
    <comment ref="B5534" authorId="2">
      <text>
        <r>
          <rPr>
            <sz val="11"/>
            <color theme="1"/>
            <rFont val="Calibri"/>
            <family val="2"/>
            <scheme val="minor"/>
          </rPr>
          <t>Introduzca un texto con la finalidad de la contratación</t>
        </r>
      </text>
    </comment>
    <comment ref="C5534" authorId="2">
      <text>
        <r>
          <rPr>
            <sz val="11"/>
            <color theme="1"/>
            <rFont val="Calibri"/>
            <family val="2"/>
            <scheme val="minor"/>
          </rPr>
          <t>Seleccionar un valor del listado</t>
        </r>
      </text>
    </comment>
    <comment ref="D5534" authorId="2">
      <text>
        <r>
          <rPr>
            <sz val="11"/>
            <color theme="1"/>
            <rFont val="Calibri"/>
            <family val="2"/>
            <scheme val="minor"/>
          </rPr>
          <t>Seleccione el tipo de procedimiento</t>
        </r>
      </text>
    </comment>
    <comment ref="E5534" authorId="2">
      <text>
        <r>
          <rPr>
            <sz val="11"/>
            <color theme="1"/>
            <rFont val="Calibri"/>
            <family val="2"/>
            <scheme val="minor"/>
          </rPr>
          <t>Seleccione un valor de la lista</t>
        </r>
      </text>
    </comment>
    <comment ref="F5534" authorId="2">
      <text>
        <r>
          <rPr>
            <sz val="11"/>
            <color theme="1"/>
            <rFont val="Calibri"/>
            <family val="2"/>
            <scheme val="minor"/>
          </rPr>
          <t>Introduzca el código SNIP</t>
        </r>
      </text>
    </comment>
    <comment ref="C5535" authorId="2">
      <text>
        <r>
          <rPr>
            <sz val="11"/>
            <color theme="1"/>
            <rFont val="Calibri"/>
            <family val="2"/>
            <scheme val="minor"/>
          </rPr>
          <t>Introduzca la fecha de inicio del proceso, en formato dd-mm-aaaa</t>
        </r>
      </text>
    </comment>
    <comment ref="F55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6" authorId="2">
      <text/>
    </comment>
    <comment ref="C5537" authorId="2">
      <text>
        <r>
          <rPr>
            <sz val="11"/>
            <color theme="1"/>
            <rFont val="Calibri"/>
            <family val="2"/>
            <scheme val="minor"/>
          </rPr>
          <t>Introduzca la fecha prevista de adjudicación, en formato dd-mm-aaaa</t>
        </r>
      </text>
    </comment>
    <comment ref="F5537" authorId="2">
      <text/>
    </comment>
    <comment ref="F5538" authorId="2">
      <text/>
    </comment>
    <comment ref="A5540" authorId="2">
      <text>
        <r>
          <rPr>
            <sz val="11"/>
            <color theme="1"/>
            <rFont val="Calibri"/>
            <family val="2"/>
            <scheme val="minor"/>
          </rPr>
          <t>Introduzca un codigo UNSPSC</t>
        </r>
      </text>
    </comment>
    <comment ref="B5540" authorId="2">
      <text>
        <r>
          <rPr>
            <sz val="11"/>
            <color theme="1"/>
            <rFont val="Calibri"/>
            <family val="2"/>
            <scheme val="minor"/>
          </rPr>
          <t>Descripción calculada automáticamente a partir de código del artículo</t>
        </r>
      </text>
    </comment>
    <comment ref="C5540" authorId="2">
      <text>
        <r>
          <rPr>
            <sz val="11"/>
            <color theme="1"/>
            <rFont val="Calibri"/>
            <family val="2"/>
            <scheme val="minor"/>
          </rPr>
          <t>Seleccione un valor de la lista</t>
        </r>
      </text>
    </comment>
    <comment ref="D5540" authorId="2">
      <text>
        <r>
          <rPr>
            <sz val="11"/>
            <color theme="1"/>
            <rFont val="Calibri"/>
            <family val="2"/>
            <scheme val="minor"/>
          </rPr>
          <t>Introduzca un número con dos decimales como máximo. Debe ser igual o mayor a la "Cantidad Real Consumida"</t>
        </r>
      </text>
    </comment>
    <comment ref="E5540" authorId="2">
      <text>
        <r>
          <rPr>
            <sz val="11"/>
            <color theme="1"/>
            <rFont val="Calibri"/>
            <family val="2"/>
            <scheme val="minor"/>
          </rPr>
          <t>Introduzca un número con dos decimales como máximo</t>
        </r>
      </text>
    </comment>
    <comment ref="F5540" authorId="2">
      <text>
        <r>
          <rPr>
            <sz val="11"/>
            <color theme="1"/>
            <rFont val="Calibri"/>
            <family val="2"/>
            <scheme val="minor"/>
          </rPr>
          <t>Monto calculado automáticamente por el sistema</t>
        </r>
      </text>
    </comment>
    <comment ref="A5562" authorId="2">
      <text>
        <r>
          <rPr>
            <sz val="11"/>
            <color theme="1"/>
            <rFont val="Calibri"/>
            <family val="2"/>
            <scheme val="minor"/>
          </rPr>
          <t>Introducir un texto con el nombre o referencia de la contratación</t>
        </r>
      </text>
    </comment>
    <comment ref="B5562" authorId="2">
      <text>
        <r>
          <rPr>
            <sz val="11"/>
            <color theme="1"/>
            <rFont val="Calibri"/>
            <family val="2"/>
            <scheme val="minor"/>
          </rPr>
          <t>Introduzca un texto con la finalidad de la contratación</t>
        </r>
      </text>
    </comment>
    <comment ref="C5562" authorId="2">
      <text>
        <r>
          <rPr>
            <sz val="11"/>
            <color theme="1"/>
            <rFont val="Calibri"/>
            <family val="2"/>
            <scheme val="minor"/>
          </rPr>
          <t>Seleccionar un valor del listado</t>
        </r>
      </text>
    </comment>
    <comment ref="D5562" authorId="2">
      <text>
        <r>
          <rPr>
            <sz val="11"/>
            <color theme="1"/>
            <rFont val="Calibri"/>
            <family val="2"/>
            <scheme val="minor"/>
          </rPr>
          <t>Seleccione el tipo de procedimiento</t>
        </r>
      </text>
    </comment>
    <comment ref="E5562" authorId="2">
      <text>
        <r>
          <rPr>
            <sz val="11"/>
            <color theme="1"/>
            <rFont val="Calibri"/>
            <family val="2"/>
            <scheme val="minor"/>
          </rPr>
          <t>Seleccione un valor de la lista</t>
        </r>
      </text>
    </comment>
    <comment ref="F5562" authorId="2">
      <text>
        <r>
          <rPr>
            <sz val="11"/>
            <color theme="1"/>
            <rFont val="Calibri"/>
            <family val="2"/>
            <scheme val="minor"/>
          </rPr>
          <t>Introduzca el código SNIP</t>
        </r>
      </text>
    </comment>
    <comment ref="C5563" authorId="2">
      <text>
        <r>
          <rPr>
            <sz val="11"/>
            <color theme="1"/>
            <rFont val="Calibri"/>
            <family val="2"/>
            <scheme val="minor"/>
          </rPr>
          <t>Introduzca la fecha de inicio del proceso, en formato dd-mm-aaaa</t>
        </r>
      </text>
    </comment>
    <comment ref="F55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4" authorId="2">
      <text/>
    </comment>
    <comment ref="C5565" authorId="2">
      <text>
        <r>
          <rPr>
            <sz val="11"/>
            <color theme="1"/>
            <rFont val="Calibri"/>
            <family val="2"/>
            <scheme val="minor"/>
          </rPr>
          <t>Introduzca la fecha prevista de adjudicación, en formato dd-mm-aaaa</t>
        </r>
      </text>
    </comment>
    <comment ref="F5565" authorId="2">
      <text/>
    </comment>
    <comment ref="F5566" authorId="2">
      <text/>
    </comment>
    <comment ref="A5568" authorId="2">
      <text>
        <r>
          <rPr>
            <sz val="11"/>
            <color theme="1"/>
            <rFont val="Calibri"/>
            <family val="2"/>
            <scheme val="minor"/>
          </rPr>
          <t>Introduzca un codigo UNSPSC</t>
        </r>
      </text>
    </comment>
    <comment ref="B5568" authorId="2">
      <text>
        <r>
          <rPr>
            <sz val="11"/>
            <color theme="1"/>
            <rFont val="Calibri"/>
            <family val="2"/>
            <scheme val="minor"/>
          </rPr>
          <t>Descripción calculada automáticamente a partir de código del artículo</t>
        </r>
      </text>
    </comment>
    <comment ref="C5568" authorId="2">
      <text>
        <r>
          <rPr>
            <sz val="11"/>
            <color theme="1"/>
            <rFont val="Calibri"/>
            <family val="2"/>
            <scheme val="minor"/>
          </rPr>
          <t>Seleccione un valor de la lista</t>
        </r>
      </text>
    </comment>
    <comment ref="D5568" authorId="2">
      <text>
        <r>
          <rPr>
            <sz val="11"/>
            <color theme="1"/>
            <rFont val="Calibri"/>
            <family val="2"/>
            <scheme val="minor"/>
          </rPr>
          <t>Introduzca un número con dos decimales como máximo. Debe ser igual o mayor a la "Cantidad Real Consumida"</t>
        </r>
      </text>
    </comment>
    <comment ref="E5568" authorId="2">
      <text>
        <r>
          <rPr>
            <sz val="11"/>
            <color theme="1"/>
            <rFont val="Calibri"/>
            <family val="2"/>
            <scheme val="minor"/>
          </rPr>
          <t>Introduzca un número con dos decimales como máximo</t>
        </r>
      </text>
    </comment>
    <comment ref="F5568" authorId="2">
      <text>
        <r>
          <rPr>
            <sz val="11"/>
            <color theme="1"/>
            <rFont val="Calibri"/>
            <family val="2"/>
            <scheme val="minor"/>
          </rPr>
          <t>Monto calculado automáticamente por el sistema</t>
        </r>
      </text>
    </comment>
    <comment ref="A5573" authorId="2">
      <text>
        <r>
          <rPr>
            <sz val="11"/>
            <color theme="1"/>
            <rFont val="Calibri"/>
            <family val="2"/>
            <scheme val="minor"/>
          </rPr>
          <t>Introducir un texto con el nombre o referencia de la contratación</t>
        </r>
      </text>
    </comment>
    <comment ref="B5573" authorId="2">
      <text>
        <r>
          <rPr>
            <sz val="11"/>
            <color theme="1"/>
            <rFont val="Calibri"/>
            <family val="2"/>
            <scheme val="minor"/>
          </rPr>
          <t>Introduzca un texto con la finalidad de la contratación</t>
        </r>
      </text>
    </comment>
    <comment ref="C5573" authorId="2">
      <text>
        <r>
          <rPr>
            <sz val="11"/>
            <color theme="1"/>
            <rFont val="Calibri"/>
            <family val="2"/>
            <scheme val="minor"/>
          </rPr>
          <t>Seleccionar un valor del listado</t>
        </r>
      </text>
    </comment>
    <comment ref="D5573" authorId="2">
      <text>
        <r>
          <rPr>
            <sz val="11"/>
            <color theme="1"/>
            <rFont val="Calibri"/>
            <family val="2"/>
            <scheme val="minor"/>
          </rPr>
          <t>Seleccione el tipo de procedimiento</t>
        </r>
      </text>
    </comment>
    <comment ref="E5573" authorId="2">
      <text>
        <r>
          <rPr>
            <sz val="11"/>
            <color theme="1"/>
            <rFont val="Calibri"/>
            <family val="2"/>
            <scheme val="minor"/>
          </rPr>
          <t>Seleccione un valor de la lista</t>
        </r>
      </text>
    </comment>
    <comment ref="F5573" authorId="2">
      <text>
        <r>
          <rPr>
            <sz val="11"/>
            <color theme="1"/>
            <rFont val="Calibri"/>
            <family val="2"/>
            <scheme val="minor"/>
          </rPr>
          <t>Introduzca el código SNIP</t>
        </r>
      </text>
    </comment>
    <comment ref="C5574" authorId="2">
      <text>
        <r>
          <rPr>
            <sz val="11"/>
            <color theme="1"/>
            <rFont val="Calibri"/>
            <family val="2"/>
            <scheme val="minor"/>
          </rPr>
          <t>Introduzca la fecha de inicio del proceso, en formato dd-mm-aaaa</t>
        </r>
      </text>
    </comment>
    <comment ref="F55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5" authorId="2">
      <text/>
    </comment>
    <comment ref="C5576" authorId="2">
      <text>
        <r>
          <rPr>
            <sz val="11"/>
            <color theme="1"/>
            <rFont val="Calibri"/>
            <family val="2"/>
            <scheme val="minor"/>
          </rPr>
          <t>Introduzca la fecha prevista de adjudicación, en formato dd-mm-aaaa</t>
        </r>
      </text>
    </comment>
    <comment ref="F5576" authorId="2">
      <text/>
    </comment>
    <comment ref="F5577" authorId="2">
      <text/>
    </comment>
    <comment ref="A5579" authorId="2">
      <text>
        <r>
          <rPr>
            <sz val="11"/>
            <color theme="1"/>
            <rFont val="Calibri"/>
            <family val="2"/>
            <scheme val="minor"/>
          </rPr>
          <t>Introduzca un codigo UNSPSC</t>
        </r>
      </text>
    </comment>
    <comment ref="B5579" authorId="2">
      <text>
        <r>
          <rPr>
            <sz val="11"/>
            <color theme="1"/>
            <rFont val="Calibri"/>
            <family val="2"/>
            <scheme val="minor"/>
          </rPr>
          <t>Descripción calculada automáticamente a partir de código del artículo</t>
        </r>
      </text>
    </comment>
    <comment ref="C5579" authorId="2">
      <text>
        <r>
          <rPr>
            <sz val="11"/>
            <color theme="1"/>
            <rFont val="Calibri"/>
            <family val="2"/>
            <scheme val="minor"/>
          </rPr>
          <t>Seleccione un valor de la lista</t>
        </r>
      </text>
    </comment>
    <comment ref="D5579" authorId="2">
      <text>
        <r>
          <rPr>
            <sz val="11"/>
            <color theme="1"/>
            <rFont val="Calibri"/>
            <family val="2"/>
            <scheme val="minor"/>
          </rPr>
          <t>Introduzca un número con dos decimales como máximo. Debe ser igual o mayor a la "Cantidad Real Consumida"</t>
        </r>
      </text>
    </comment>
    <comment ref="E5579" authorId="2">
      <text>
        <r>
          <rPr>
            <sz val="11"/>
            <color theme="1"/>
            <rFont val="Calibri"/>
            <family val="2"/>
            <scheme val="minor"/>
          </rPr>
          <t>Introduzca un número con dos decimales como máximo</t>
        </r>
      </text>
    </comment>
    <comment ref="F5579" authorId="2">
      <text>
        <r>
          <rPr>
            <sz val="11"/>
            <color theme="1"/>
            <rFont val="Calibri"/>
            <family val="2"/>
            <scheme val="minor"/>
          </rPr>
          <t>Monto calculado automáticamente por el sistema</t>
        </r>
      </text>
    </comment>
    <comment ref="A5586" authorId="2">
      <text>
        <r>
          <rPr>
            <sz val="11"/>
            <color theme="1"/>
            <rFont val="Calibri"/>
            <family val="2"/>
            <scheme val="minor"/>
          </rPr>
          <t>Introducir un texto con el nombre o referencia de la contratación</t>
        </r>
      </text>
    </comment>
    <comment ref="B5586" authorId="2">
      <text>
        <r>
          <rPr>
            <sz val="11"/>
            <color theme="1"/>
            <rFont val="Calibri"/>
            <family val="2"/>
            <scheme val="minor"/>
          </rPr>
          <t>Introduzca un texto con la finalidad de la contratación</t>
        </r>
      </text>
    </comment>
    <comment ref="C5586" authorId="2">
      <text>
        <r>
          <rPr>
            <sz val="11"/>
            <color theme="1"/>
            <rFont val="Calibri"/>
            <family val="2"/>
            <scheme val="minor"/>
          </rPr>
          <t>Seleccionar un valor del listado</t>
        </r>
      </text>
    </comment>
    <comment ref="D5586" authorId="2">
      <text>
        <r>
          <rPr>
            <sz val="11"/>
            <color theme="1"/>
            <rFont val="Calibri"/>
            <family val="2"/>
            <scheme val="minor"/>
          </rPr>
          <t>Seleccione el tipo de procedimiento</t>
        </r>
      </text>
    </comment>
    <comment ref="E5586" authorId="2">
      <text>
        <r>
          <rPr>
            <sz val="11"/>
            <color theme="1"/>
            <rFont val="Calibri"/>
            <family val="2"/>
            <scheme val="minor"/>
          </rPr>
          <t>Seleccione un valor de la lista</t>
        </r>
      </text>
    </comment>
    <comment ref="F5586" authorId="2">
      <text>
        <r>
          <rPr>
            <sz val="11"/>
            <color theme="1"/>
            <rFont val="Calibri"/>
            <family val="2"/>
            <scheme val="minor"/>
          </rPr>
          <t>Introduzca el código SNIP</t>
        </r>
      </text>
    </comment>
    <comment ref="C5587" authorId="2">
      <text>
        <r>
          <rPr>
            <sz val="11"/>
            <color theme="1"/>
            <rFont val="Calibri"/>
            <family val="2"/>
            <scheme val="minor"/>
          </rPr>
          <t>Introduzca la fecha de inicio del proceso, en formato dd-mm-aaaa</t>
        </r>
      </text>
    </comment>
    <comment ref="F55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8" authorId="2">
      <text/>
    </comment>
    <comment ref="C5589" authorId="2">
      <text>
        <r>
          <rPr>
            <sz val="11"/>
            <color theme="1"/>
            <rFont val="Calibri"/>
            <family val="2"/>
            <scheme val="minor"/>
          </rPr>
          <t>Introduzca la fecha prevista de adjudicación, en formato dd-mm-aaaa</t>
        </r>
      </text>
    </comment>
    <comment ref="F5589" authorId="2">
      <text/>
    </comment>
    <comment ref="F5590" authorId="2">
      <text/>
    </comment>
    <comment ref="A5592" authorId="2">
      <text>
        <r>
          <rPr>
            <sz val="11"/>
            <color theme="1"/>
            <rFont val="Calibri"/>
            <family val="2"/>
            <scheme val="minor"/>
          </rPr>
          <t>Introduzca un codigo UNSPSC</t>
        </r>
      </text>
    </comment>
    <comment ref="B5592" authorId="2">
      <text>
        <r>
          <rPr>
            <sz val="11"/>
            <color theme="1"/>
            <rFont val="Calibri"/>
            <family val="2"/>
            <scheme val="minor"/>
          </rPr>
          <t>Descripción calculada automáticamente a partir de código del artículo</t>
        </r>
      </text>
    </comment>
    <comment ref="C5592" authorId="2">
      <text>
        <r>
          <rPr>
            <sz val="11"/>
            <color theme="1"/>
            <rFont val="Calibri"/>
            <family val="2"/>
            <scheme val="minor"/>
          </rPr>
          <t>Seleccione un valor de la lista</t>
        </r>
      </text>
    </comment>
    <comment ref="D5592" authorId="2">
      <text>
        <r>
          <rPr>
            <sz val="11"/>
            <color theme="1"/>
            <rFont val="Calibri"/>
            <family val="2"/>
            <scheme val="minor"/>
          </rPr>
          <t>Introduzca un número con dos decimales como máximo. Debe ser igual o mayor a la "Cantidad Real Consumida"</t>
        </r>
      </text>
    </comment>
    <comment ref="E5592" authorId="2">
      <text>
        <r>
          <rPr>
            <sz val="11"/>
            <color theme="1"/>
            <rFont val="Calibri"/>
            <family val="2"/>
            <scheme val="minor"/>
          </rPr>
          <t>Introduzca un número con dos decimales como máximo</t>
        </r>
      </text>
    </comment>
    <comment ref="F5592" authorId="2">
      <text>
        <r>
          <rPr>
            <sz val="11"/>
            <color theme="1"/>
            <rFont val="Calibri"/>
            <family val="2"/>
            <scheme val="minor"/>
          </rPr>
          <t>Monto calculado automáticamente por el sistema</t>
        </r>
      </text>
    </comment>
    <comment ref="A5598" authorId="2">
      <text>
        <r>
          <rPr>
            <sz val="11"/>
            <color theme="1"/>
            <rFont val="Calibri"/>
            <family val="2"/>
            <scheme val="minor"/>
          </rPr>
          <t>Introducir un texto con el nombre o referencia de la contratación</t>
        </r>
      </text>
    </comment>
    <comment ref="B5598" authorId="2">
      <text>
        <r>
          <rPr>
            <sz val="11"/>
            <color theme="1"/>
            <rFont val="Calibri"/>
            <family val="2"/>
            <scheme val="minor"/>
          </rPr>
          <t>Introduzca un texto con la finalidad de la contratación</t>
        </r>
      </text>
    </comment>
    <comment ref="C5598" authorId="2">
      <text>
        <r>
          <rPr>
            <sz val="11"/>
            <color theme="1"/>
            <rFont val="Calibri"/>
            <family val="2"/>
            <scheme val="minor"/>
          </rPr>
          <t>Seleccionar un valor del listado</t>
        </r>
      </text>
    </comment>
    <comment ref="D5598" authorId="2">
      <text>
        <r>
          <rPr>
            <sz val="11"/>
            <color theme="1"/>
            <rFont val="Calibri"/>
            <family val="2"/>
            <scheme val="minor"/>
          </rPr>
          <t>Seleccione el tipo de procedimiento</t>
        </r>
      </text>
    </comment>
    <comment ref="E5598" authorId="2">
      <text>
        <r>
          <rPr>
            <sz val="11"/>
            <color theme="1"/>
            <rFont val="Calibri"/>
            <family val="2"/>
            <scheme val="minor"/>
          </rPr>
          <t>Seleccione un valor de la lista</t>
        </r>
      </text>
    </comment>
    <comment ref="F5598" authorId="2">
      <text>
        <r>
          <rPr>
            <sz val="11"/>
            <color theme="1"/>
            <rFont val="Calibri"/>
            <family val="2"/>
            <scheme val="minor"/>
          </rPr>
          <t>Introduzca el código SNIP</t>
        </r>
      </text>
    </comment>
    <comment ref="C5599" authorId="2">
      <text>
        <r>
          <rPr>
            <sz val="11"/>
            <color theme="1"/>
            <rFont val="Calibri"/>
            <family val="2"/>
            <scheme val="minor"/>
          </rPr>
          <t>Introduzca la fecha de inicio del proceso, en formato dd-mm-aaaa</t>
        </r>
      </text>
    </comment>
    <comment ref="F55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0" authorId="2">
      <text/>
    </comment>
    <comment ref="C5601" authorId="2">
      <text>
        <r>
          <rPr>
            <sz val="11"/>
            <color theme="1"/>
            <rFont val="Calibri"/>
            <family val="2"/>
            <scheme val="minor"/>
          </rPr>
          <t>Introduzca la fecha prevista de adjudicación, en formato dd-mm-aaaa</t>
        </r>
      </text>
    </comment>
    <comment ref="F5601" authorId="2">
      <text/>
    </comment>
    <comment ref="F5602" authorId="2">
      <text/>
    </comment>
    <comment ref="A5604" authorId="2">
      <text>
        <r>
          <rPr>
            <sz val="11"/>
            <color theme="1"/>
            <rFont val="Calibri"/>
            <family val="2"/>
            <scheme val="minor"/>
          </rPr>
          <t>Introduzca un codigo UNSPSC</t>
        </r>
      </text>
    </comment>
    <comment ref="B5604" authorId="2">
      <text>
        <r>
          <rPr>
            <sz val="11"/>
            <color theme="1"/>
            <rFont val="Calibri"/>
            <family val="2"/>
            <scheme val="minor"/>
          </rPr>
          <t>Descripción calculada automáticamente a partir de código del artículo</t>
        </r>
      </text>
    </comment>
    <comment ref="C5604" authorId="2">
      <text>
        <r>
          <rPr>
            <sz val="11"/>
            <color theme="1"/>
            <rFont val="Calibri"/>
            <family val="2"/>
            <scheme val="minor"/>
          </rPr>
          <t>Seleccione un valor de la lista</t>
        </r>
      </text>
    </comment>
    <comment ref="D5604" authorId="2">
      <text>
        <r>
          <rPr>
            <sz val="11"/>
            <color theme="1"/>
            <rFont val="Calibri"/>
            <family val="2"/>
            <scheme val="minor"/>
          </rPr>
          <t>Introduzca un número con dos decimales como máximo. Debe ser igual o mayor a la "Cantidad Real Consumida"</t>
        </r>
      </text>
    </comment>
    <comment ref="E5604" authorId="2">
      <text>
        <r>
          <rPr>
            <sz val="11"/>
            <color theme="1"/>
            <rFont val="Calibri"/>
            <family val="2"/>
            <scheme val="minor"/>
          </rPr>
          <t>Introduzca un número con dos decimales como máximo</t>
        </r>
      </text>
    </comment>
    <comment ref="F5604" authorId="2">
      <text>
        <r>
          <rPr>
            <sz val="11"/>
            <color theme="1"/>
            <rFont val="Calibri"/>
            <family val="2"/>
            <scheme val="minor"/>
          </rPr>
          <t>Monto calculado automáticamente por el sistema</t>
        </r>
      </text>
    </comment>
    <comment ref="A5609" authorId="2">
      <text>
        <r>
          <rPr>
            <sz val="11"/>
            <color theme="1"/>
            <rFont val="Calibri"/>
            <family val="2"/>
            <scheme val="minor"/>
          </rPr>
          <t>Introducir un texto con el nombre o referencia de la contratación</t>
        </r>
      </text>
    </comment>
    <comment ref="B5609" authorId="2">
      <text>
        <r>
          <rPr>
            <sz val="11"/>
            <color theme="1"/>
            <rFont val="Calibri"/>
            <family val="2"/>
            <scheme val="minor"/>
          </rPr>
          <t>Introduzca un texto con la finalidad de la contratación</t>
        </r>
      </text>
    </comment>
    <comment ref="C5609" authorId="2">
      <text>
        <r>
          <rPr>
            <sz val="11"/>
            <color theme="1"/>
            <rFont val="Calibri"/>
            <family val="2"/>
            <scheme val="minor"/>
          </rPr>
          <t>Seleccionar un valor del listado</t>
        </r>
      </text>
    </comment>
    <comment ref="D5609" authorId="2">
      <text>
        <r>
          <rPr>
            <sz val="11"/>
            <color theme="1"/>
            <rFont val="Calibri"/>
            <family val="2"/>
            <scheme val="minor"/>
          </rPr>
          <t>Seleccione el tipo de procedimiento</t>
        </r>
      </text>
    </comment>
    <comment ref="E5609" authorId="2">
      <text>
        <r>
          <rPr>
            <sz val="11"/>
            <color theme="1"/>
            <rFont val="Calibri"/>
            <family val="2"/>
            <scheme val="minor"/>
          </rPr>
          <t>Seleccione un valor de la lista</t>
        </r>
      </text>
    </comment>
    <comment ref="F5609" authorId="2">
      <text>
        <r>
          <rPr>
            <sz val="11"/>
            <color theme="1"/>
            <rFont val="Calibri"/>
            <family val="2"/>
            <scheme val="minor"/>
          </rPr>
          <t>Introduzca el código SNIP</t>
        </r>
      </text>
    </comment>
    <comment ref="C5610" authorId="2">
      <text>
        <r>
          <rPr>
            <sz val="11"/>
            <color theme="1"/>
            <rFont val="Calibri"/>
            <family val="2"/>
            <scheme val="minor"/>
          </rPr>
          <t>Introduzca la fecha de inicio del proceso, en formato dd-mm-aaaa</t>
        </r>
      </text>
    </comment>
    <comment ref="F56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1" authorId="2">
      <text/>
    </comment>
    <comment ref="C5612" authorId="2">
      <text>
        <r>
          <rPr>
            <sz val="11"/>
            <color theme="1"/>
            <rFont val="Calibri"/>
            <family val="2"/>
            <scheme val="minor"/>
          </rPr>
          <t>Introduzca la fecha prevista de adjudicación, en formato dd-mm-aaaa</t>
        </r>
      </text>
    </comment>
    <comment ref="F5612" authorId="2">
      <text/>
    </comment>
    <comment ref="F5613" authorId="2">
      <text/>
    </comment>
    <comment ref="A5615" authorId="2">
      <text>
        <r>
          <rPr>
            <sz val="11"/>
            <color theme="1"/>
            <rFont val="Calibri"/>
            <family val="2"/>
            <scheme val="minor"/>
          </rPr>
          <t>Introduzca un codigo UNSPSC</t>
        </r>
      </text>
    </comment>
    <comment ref="B5615" authorId="2">
      <text>
        <r>
          <rPr>
            <sz val="11"/>
            <color theme="1"/>
            <rFont val="Calibri"/>
            <family val="2"/>
            <scheme val="minor"/>
          </rPr>
          <t>Descripción calculada automáticamente a partir de código del artículo</t>
        </r>
      </text>
    </comment>
    <comment ref="C5615" authorId="2">
      <text>
        <r>
          <rPr>
            <sz val="11"/>
            <color theme="1"/>
            <rFont val="Calibri"/>
            <family val="2"/>
            <scheme val="minor"/>
          </rPr>
          <t>Seleccione un valor de la lista</t>
        </r>
      </text>
    </comment>
    <comment ref="D5615" authorId="2">
      <text>
        <r>
          <rPr>
            <sz val="11"/>
            <color theme="1"/>
            <rFont val="Calibri"/>
            <family val="2"/>
            <scheme val="minor"/>
          </rPr>
          <t>Introduzca un número con dos decimales como máximo. Debe ser igual o mayor a la "Cantidad Real Consumida"</t>
        </r>
      </text>
    </comment>
    <comment ref="E5615" authorId="2">
      <text>
        <r>
          <rPr>
            <sz val="11"/>
            <color theme="1"/>
            <rFont val="Calibri"/>
            <family val="2"/>
            <scheme val="minor"/>
          </rPr>
          <t>Introduzca un número con dos decimales como máximo</t>
        </r>
      </text>
    </comment>
    <comment ref="F5615" authorId="2">
      <text>
        <r>
          <rPr>
            <sz val="11"/>
            <color theme="1"/>
            <rFont val="Calibri"/>
            <family val="2"/>
            <scheme val="minor"/>
          </rPr>
          <t>Monto calculado automáticamente por el sistema</t>
        </r>
      </text>
    </comment>
    <comment ref="A5678" authorId="2">
      <text>
        <r>
          <rPr>
            <sz val="11"/>
            <color theme="1"/>
            <rFont val="Calibri"/>
            <family val="2"/>
            <scheme val="minor"/>
          </rPr>
          <t>Introducir un texto con el nombre o referencia de la contratación</t>
        </r>
      </text>
    </comment>
    <comment ref="B5678" authorId="2">
      <text>
        <r>
          <rPr>
            <sz val="11"/>
            <color theme="1"/>
            <rFont val="Calibri"/>
            <family val="2"/>
            <scheme val="minor"/>
          </rPr>
          <t>Introduzca un texto con la finalidad de la contratación</t>
        </r>
      </text>
    </comment>
    <comment ref="C5678" authorId="2">
      <text>
        <r>
          <rPr>
            <sz val="11"/>
            <color theme="1"/>
            <rFont val="Calibri"/>
            <family val="2"/>
            <scheme val="minor"/>
          </rPr>
          <t>Seleccionar un valor del listado</t>
        </r>
      </text>
    </comment>
    <comment ref="D5678" authorId="2">
      <text>
        <r>
          <rPr>
            <sz val="11"/>
            <color theme="1"/>
            <rFont val="Calibri"/>
            <family val="2"/>
            <scheme val="minor"/>
          </rPr>
          <t>Seleccione el tipo de procedimiento</t>
        </r>
      </text>
    </comment>
    <comment ref="E5678" authorId="2">
      <text>
        <r>
          <rPr>
            <sz val="11"/>
            <color theme="1"/>
            <rFont val="Calibri"/>
            <family val="2"/>
            <scheme val="minor"/>
          </rPr>
          <t>Seleccione un valor de la lista</t>
        </r>
      </text>
    </comment>
    <comment ref="F5678" authorId="2">
      <text>
        <r>
          <rPr>
            <sz val="11"/>
            <color theme="1"/>
            <rFont val="Calibri"/>
            <family val="2"/>
            <scheme val="minor"/>
          </rPr>
          <t>Introduzca el código SNIP</t>
        </r>
      </text>
    </comment>
    <comment ref="C5679" authorId="2">
      <text>
        <r>
          <rPr>
            <sz val="11"/>
            <color theme="1"/>
            <rFont val="Calibri"/>
            <family val="2"/>
            <scheme val="minor"/>
          </rPr>
          <t>Introduzca la fecha de inicio del proceso, en formato dd-mm-aaaa</t>
        </r>
      </text>
    </comment>
    <comment ref="F56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0" authorId="2">
      <text/>
    </comment>
    <comment ref="C5681" authorId="2">
      <text>
        <r>
          <rPr>
            <sz val="11"/>
            <color theme="1"/>
            <rFont val="Calibri"/>
            <family val="2"/>
            <scheme val="minor"/>
          </rPr>
          <t>Introduzca la fecha prevista de adjudicación, en formato dd-mm-aaaa</t>
        </r>
      </text>
    </comment>
    <comment ref="F5681" authorId="2">
      <text/>
    </comment>
    <comment ref="F5682" authorId="2">
      <text/>
    </comment>
    <comment ref="A5684" authorId="2">
      <text>
        <r>
          <rPr>
            <sz val="11"/>
            <color theme="1"/>
            <rFont val="Calibri"/>
            <family val="2"/>
            <scheme val="minor"/>
          </rPr>
          <t>Introduzca un codigo UNSPSC</t>
        </r>
      </text>
    </comment>
    <comment ref="B5684" authorId="2">
      <text>
        <r>
          <rPr>
            <sz val="11"/>
            <color theme="1"/>
            <rFont val="Calibri"/>
            <family val="2"/>
            <scheme val="minor"/>
          </rPr>
          <t>Descripción calculada automáticamente a partir de código del artículo</t>
        </r>
      </text>
    </comment>
    <comment ref="C5684" authorId="2">
      <text>
        <r>
          <rPr>
            <sz val="11"/>
            <color theme="1"/>
            <rFont val="Calibri"/>
            <family val="2"/>
            <scheme val="minor"/>
          </rPr>
          <t>Seleccione un valor de la lista</t>
        </r>
      </text>
    </comment>
    <comment ref="D5684" authorId="2">
      <text>
        <r>
          <rPr>
            <sz val="11"/>
            <color theme="1"/>
            <rFont val="Calibri"/>
            <family val="2"/>
            <scheme val="minor"/>
          </rPr>
          <t>Introduzca un número con dos decimales como máximo. Debe ser igual o mayor a la "Cantidad Real Consumida"</t>
        </r>
      </text>
    </comment>
    <comment ref="E5684" authorId="2">
      <text>
        <r>
          <rPr>
            <sz val="11"/>
            <color theme="1"/>
            <rFont val="Calibri"/>
            <family val="2"/>
            <scheme val="minor"/>
          </rPr>
          <t>Introduzca un número con dos decimales como máximo</t>
        </r>
      </text>
    </comment>
    <comment ref="F5684" authorId="2">
      <text>
        <r>
          <rPr>
            <sz val="11"/>
            <color theme="1"/>
            <rFont val="Calibri"/>
            <family val="2"/>
            <scheme val="minor"/>
          </rPr>
          <t>Monto calculado automáticamente por el sistema</t>
        </r>
      </text>
    </comment>
    <comment ref="A5701" authorId="2">
      <text>
        <r>
          <rPr>
            <sz val="11"/>
            <color theme="1"/>
            <rFont val="Calibri"/>
            <family val="2"/>
            <scheme val="minor"/>
          </rPr>
          <t>Introducir un texto con el nombre o referencia de la contratación</t>
        </r>
      </text>
    </comment>
    <comment ref="B5701" authorId="2">
      <text>
        <r>
          <rPr>
            <sz val="11"/>
            <color theme="1"/>
            <rFont val="Calibri"/>
            <family val="2"/>
            <scheme val="minor"/>
          </rPr>
          <t>Introduzca un texto con la finalidad de la contratación</t>
        </r>
      </text>
    </comment>
    <comment ref="C5701" authorId="2">
      <text>
        <r>
          <rPr>
            <sz val="11"/>
            <color theme="1"/>
            <rFont val="Calibri"/>
            <family val="2"/>
            <scheme val="minor"/>
          </rPr>
          <t>Seleccionar un valor del listado</t>
        </r>
      </text>
    </comment>
    <comment ref="D5701" authorId="2">
      <text>
        <r>
          <rPr>
            <sz val="11"/>
            <color theme="1"/>
            <rFont val="Calibri"/>
            <family val="2"/>
            <scheme val="minor"/>
          </rPr>
          <t>Seleccione el tipo de procedimiento</t>
        </r>
      </text>
    </comment>
    <comment ref="E5701" authorId="2">
      <text>
        <r>
          <rPr>
            <sz val="11"/>
            <color theme="1"/>
            <rFont val="Calibri"/>
            <family val="2"/>
            <scheme val="minor"/>
          </rPr>
          <t>Seleccione un valor de la lista</t>
        </r>
      </text>
    </comment>
    <comment ref="F5701" authorId="2">
      <text>
        <r>
          <rPr>
            <sz val="11"/>
            <color theme="1"/>
            <rFont val="Calibri"/>
            <family val="2"/>
            <scheme val="minor"/>
          </rPr>
          <t>Introduzca el código SNIP</t>
        </r>
      </text>
    </comment>
    <comment ref="C5702" authorId="2">
      <text>
        <r>
          <rPr>
            <sz val="11"/>
            <color theme="1"/>
            <rFont val="Calibri"/>
            <family val="2"/>
            <scheme val="minor"/>
          </rPr>
          <t>Introduzca la fecha de inicio del proceso, en formato dd-mm-aaaa</t>
        </r>
      </text>
    </comment>
    <comment ref="F57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3" authorId="2">
      <text/>
    </comment>
    <comment ref="C5704" authorId="2">
      <text>
        <r>
          <rPr>
            <sz val="11"/>
            <color theme="1"/>
            <rFont val="Calibri"/>
            <family val="2"/>
            <scheme val="minor"/>
          </rPr>
          <t>Introduzca la fecha prevista de adjudicación, en formato dd-mm-aaaa</t>
        </r>
      </text>
    </comment>
    <comment ref="F5704" authorId="2">
      <text/>
    </comment>
    <comment ref="F5705" authorId="2">
      <text/>
    </comment>
    <comment ref="A5707" authorId="2">
      <text>
        <r>
          <rPr>
            <sz val="11"/>
            <color theme="1"/>
            <rFont val="Calibri"/>
            <family val="2"/>
            <scheme val="minor"/>
          </rPr>
          <t>Introduzca un codigo UNSPSC</t>
        </r>
      </text>
    </comment>
    <comment ref="B5707" authorId="2">
      <text>
        <r>
          <rPr>
            <sz val="11"/>
            <color theme="1"/>
            <rFont val="Calibri"/>
            <family val="2"/>
            <scheme val="minor"/>
          </rPr>
          <t>Descripción calculada automáticamente a partir de código del artículo</t>
        </r>
      </text>
    </comment>
    <comment ref="C5707" authorId="2">
      <text>
        <r>
          <rPr>
            <sz val="11"/>
            <color theme="1"/>
            <rFont val="Calibri"/>
            <family val="2"/>
            <scheme val="minor"/>
          </rPr>
          <t>Seleccione un valor de la lista</t>
        </r>
      </text>
    </comment>
    <comment ref="D5707" authorId="2">
      <text>
        <r>
          <rPr>
            <sz val="11"/>
            <color theme="1"/>
            <rFont val="Calibri"/>
            <family val="2"/>
            <scheme val="minor"/>
          </rPr>
          <t>Introduzca un número con dos decimales como máximo. Debe ser igual o mayor a la "Cantidad Real Consumida"</t>
        </r>
      </text>
    </comment>
    <comment ref="E5707" authorId="2">
      <text>
        <r>
          <rPr>
            <sz val="11"/>
            <color theme="1"/>
            <rFont val="Calibri"/>
            <family val="2"/>
            <scheme val="minor"/>
          </rPr>
          <t>Introduzca un número con dos decimales como máximo</t>
        </r>
      </text>
    </comment>
    <comment ref="F5707" authorId="2">
      <text>
        <r>
          <rPr>
            <sz val="11"/>
            <color theme="1"/>
            <rFont val="Calibri"/>
            <family val="2"/>
            <scheme val="minor"/>
          </rPr>
          <t>Monto calculado automáticamente por el sistema</t>
        </r>
      </text>
    </comment>
    <comment ref="A5713" authorId="2">
      <text>
        <r>
          <rPr>
            <sz val="11"/>
            <color theme="1"/>
            <rFont val="Calibri"/>
            <family val="2"/>
            <scheme val="minor"/>
          </rPr>
          <t>Introducir un texto con el nombre o referencia de la contratación</t>
        </r>
      </text>
    </comment>
    <comment ref="B5713" authorId="2">
      <text>
        <r>
          <rPr>
            <sz val="11"/>
            <color theme="1"/>
            <rFont val="Calibri"/>
            <family val="2"/>
            <scheme val="minor"/>
          </rPr>
          <t>Introduzca un texto con la finalidad de la contratación</t>
        </r>
      </text>
    </comment>
    <comment ref="C5713" authorId="2">
      <text>
        <r>
          <rPr>
            <sz val="11"/>
            <color theme="1"/>
            <rFont val="Calibri"/>
            <family val="2"/>
            <scheme val="minor"/>
          </rPr>
          <t>Seleccionar un valor del listado</t>
        </r>
      </text>
    </comment>
    <comment ref="D5713" authorId="2">
      <text>
        <r>
          <rPr>
            <sz val="11"/>
            <color theme="1"/>
            <rFont val="Calibri"/>
            <family val="2"/>
            <scheme val="minor"/>
          </rPr>
          <t>Seleccione el tipo de procedimiento</t>
        </r>
      </text>
    </comment>
    <comment ref="E5713" authorId="2">
      <text>
        <r>
          <rPr>
            <sz val="11"/>
            <color theme="1"/>
            <rFont val="Calibri"/>
            <family val="2"/>
            <scheme val="minor"/>
          </rPr>
          <t>Seleccione un valor de la lista</t>
        </r>
      </text>
    </comment>
    <comment ref="F5713" authorId="2">
      <text>
        <r>
          <rPr>
            <sz val="11"/>
            <color theme="1"/>
            <rFont val="Calibri"/>
            <family val="2"/>
            <scheme val="minor"/>
          </rPr>
          <t>Introduzca el código SNIP</t>
        </r>
      </text>
    </comment>
    <comment ref="C5714" authorId="2">
      <text>
        <r>
          <rPr>
            <sz val="11"/>
            <color theme="1"/>
            <rFont val="Calibri"/>
            <family val="2"/>
            <scheme val="minor"/>
          </rPr>
          <t>Introduzca la fecha de inicio del proceso, en formato dd-mm-aaaa</t>
        </r>
      </text>
    </comment>
    <comment ref="F57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5" authorId="2">
      <text/>
    </comment>
    <comment ref="C5716" authorId="2">
      <text>
        <r>
          <rPr>
            <sz val="11"/>
            <color theme="1"/>
            <rFont val="Calibri"/>
            <family val="2"/>
            <scheme val="minor"/>
          </rPr>
          <t>Introduzca la fecha prevista de adjudicación, en formato dd-mm-aaaa</t>
        </r>
      </text>
    </comment>
    <comment ref="F5716" authorId="2">
      <text/>
    </comment>
    <comment ref="F5717" authorId="2">
      <text/>
    </comment>
    <comment ref="A5719" authorId="2">
      <text>
        <r>
          <rPr>
            <sz val="11"/>
            <color theme="1"/>
            <rFont val="Calibri"/>
            <family val="2"/>
            <scheme val="minor"/>
          </rPr>
          <t>Introduzca un codigo UNSPSC</t>
        </r>
      </text>
    </comment>
    <comment ref="B5719" authorId="2">
      <text>
        <r>
          <rPr>
            <sz val="11"/>
            <color theme="1"/>
            <rFont val="Calibri"/>
            <family val="2"/>
            <scheme val="minor"/>
          </rPr>
          <t>Descripción calculada automáticamente a partir de código del artículo</t>
        </r>
      </text>
    </comment>
    <comment ref="C5719" authorId="2">
      <text>
        <r>
          <rPr>
            <sz val="11"/>
            <color theme="1"/>
            <rFont val="Calibri"/>
            <family val="2"/>
            <scheme val="minor"/>
          </rPr>
          <t>Seleccione un valor de la lista</t>
        </r>
      </text>
    </comment>
    <comment ref="D5719" authorId="2">
      <text>
        <r>
          <rPr>
            <sz val="11"/>
            <color theme="1"/>
            <rFont val="Calibri"/>
            <family val="2"/>
            <scheme val="minor"/>
          </rPr>
          <t>Introduzca un número con dos decimales como máximo. Debe ser igual o mayor a la "Cantidad Real Consumida"</t>
        </r>
      </text>
    </comment>
    <comment ref="E5719" authorId="2">
      <text>
        <r>
          <rPr>
            <sz val="11"/>
            <color theme="1"/>
            <rFont val="Calibri"/>
            <family val="2"/>
            <scheme val="minor"/>
          </rPr>
          <t>Introduzca un número con dos decimales como máximo</t>
        </r>
      </text>
    </comment>
    <comment ref="F5719" authorId="2">
      <text>
        <r>
          <rPr>
            <sz val="11"/>
            <color theme="1"/>
            <rFont val="Calibri"/>
            <family val="2"/>
            <scheme val="minor"/>
          </rPr>
          <t>Monto calculado automáticamente por el sistema</t>
        </r>
      </text>
    </comment>
    <comment ref="A5726" authorId="2">
      <text>
        <r>
          <rPr>
            <sz val="11"/>
            <color theme="1"/>
            <rFont val="Calibri"/>
            <family val="2"/>
            <scheme val="minor"/>
          </rPr>
          <t>Introducir un texto con el nombre o referencia de la contratación</t>
        </r>
      </text>
    </comment>
    <comment ref="B5726" authorId="2">
      <text>
        <r>
          <rPr>
            <sz val="11"/>
            <color theme="1"/>
            <rFont val="Calibri"/>
            <family val="2"/>
            <scheme val="minor"/>
          </rPr>
          <t>Introduzca un texto con la finalidad de la contratación</t>
        </r>
      </text>
    </comment>
    <comment ref="C5726" authorId="2">
      <text>
        <r>
          <rPr>
            <sz val="11"/>
            <color theme="1"/>
            <rFont val="Calibri"/>
            <family val="2"/>
            <scheme val="minor"/>
          </rPr>
          <t>Seleccionar un valor del listado</t>
        </r>
      </text>
    </comment>
    <comment ref="D5726" authorId="2">
      <text>
        <r>
          <rPr>
            <sz val="11"/>
            <color theme="1"/>
            <rFont val="Calibri"/>
            <family val="2"/>
            <scheme val="minor"/>
          </rPr>
          <t>Seleccione el tipo de procedimiento</t>
        </r>
      </text>
    </comment>
    <comment ref="E5726" authorId="2">
      <text>
        <r>
          <rPr>
            <sz val="11"/>
            <color theme="1"/>
            <rFont val="Calibri"/>
            <family val="2"/>
            <scheme val="minor"/>
          </rPr>
          <t>Seleccione un valor de la lista</t>
        </r>
      </text>
    </comment>
    <comment ref="F5726" authorId="2">
      <text>
        <r>
          <rPr>
            <sz val="11"/>
            <color theme="1"/>
            <rFont val="Calibri"/>
            <family val="2"/>
            <scheme val="minor"/>
          </rPr>
          <t>Introduzca el código SNIP</t>
        </r>
      </text>
    </comment>
    <comment ref="C5727" authorId="2">
      <text>
        <r>
          <rPr>
            <sz val="11"/>
            <color theme="1"/>
            <rFont val="Calibri"/>
            <family val="2"/>
            <scheme val="minor"/>
          </rPr>
          <t>Introduzca la fecha de inicio del proceso, en formato dd-mm-aaaa</t>
        </r>
      </text>
    </comment>
    <comment ref="F572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8" authorId="2">
      <text/>
    </comment>
    <comment ref="C5729" authorId="2">
      <text>
        <r>
          <rPr>
            <sz val="11"/>
            <color theme="1"/>
            <rFont val="Calibri"/>
            <family val="2"/>
            <scheme val="minor"/>
          </rPr>
          <t>Introduzca la fecha prevista de adjudicación, en formato dd-mm-aaaa</t>
        </r>
      </text>
    </comment>
    <comment ref="F5729" authorId="2">
      <text/>
    </comment>
    <comment ref="F5730" authorId="2">
      <text/>
    </comment>
    <comment ref="A5732" authorId="2">
      <text>
        <r>
          <rPr>
            <sz val="11"/>
            <color theme="1"/>
            <rFont val="Calibri"/>
            <family val="2"/>
            <scheme val="minor"/>
          </rPr>
          <t>Introduzca un codigo UNSPSC</t>
        </r>
      </text>
    </comment>
    <comment ref="B5732" authorId="2">
      <text>
        <r>
          <rPr>
            <sz val="11"/>
            <color theme="1"/>
            <rFont val="Calibri"/>
            <family val="2"/>
            <scheme val="minor"/>
          </rPr>
          <t>Descripción calculada automáticamente a partir de código del artículo</t>
        </r>
      </text>
    </comment>
    <comment ref="C5732" authorId="2">
      <text>
        <r>
          <rPr>
            <sz val="11"/>
            <color theme="1"/>
            <rFont val="Calibri"/>
            <family val="2"/>
            <scheme val="minor"/>
          </rPr>
          <t>Seleccione un valor de la lista</t>
        </r>
      </text>
    </comment>
    <comment ref="D5732" authorId="2">
      <text>
        <r>
          <rPr>
            <sz val="11"/>
            <color theme="1"/>
            <rFont val="Calibri"/>
            <family val="2"/>
            <scheme val="minor"/>
          </rPr>
          <t>Introduzca un número con dos decimales como máximo. Debe ser igual o mayor a la "Cantidad Real Consumida"</t>
        </r>
      </text>
    </comment>
    <comment ref="E5732" authorId="2">
      <text>
        <r>
          <rPr>
            <sz val="11"/>
            <color theme="1"/>
            <rFont val="Calibri"/>
            <family val="2"/>
            <scheme val="minor"/>
          </rPr>
          <t>Introduzca un número con dos decimales como máximo</t>
        </r>
      </text>
    </comment>
    <comment ref="F5732" authorId="2">
      <text>
        <r>
          <rPr>
            <sz val="11"/>
            <color theme="1"/>
            <rFont val="Calibri"/>
            <family val="2"/>
            <scheme val="minor"/>
          </rPr>
          <t>Monto calculado automáticamente por el sistema</t>
        </r>
      </text>
    </comment>
    <comment ref="A5737" authorId="2">
      <text>
        <r>
          <rPr>
            <sz val="11"/>
            <color theme="1"/>
            <rFont val="Calibri"/>
            <family val="2"/>
            <scheme val="minor"/>
          </rPr>
          <t>Introducir un texto con el nombre o referencia de la contratación</t>
        </r>
      </text>
    </comment>
    <comment ref="B5737" authorId="2">
      <text>
        <r>
          <rPr>
            <sz val="11"/>
            <color theme="1"/>
            <rFont val="Calibri"/>
            <family val="2"/>
            <scheme val="minor"/>
          </rPr>
          <t>Introduzca un texto con la finalidad de la contratación</t>
        </r>
      </text>
    </comment>
    <comment ref="C5737" authorId="2">
      <text>
        <r>
          <rPr>
            <sz val="11"/>
            <color theme="1"/>
            <rFont val="Calibri"/>
            <family val="2"/>
            <scheme val="minor"/>
          </rPr>
          <t>Seleccionar un valor del listado</t>
        </r>
      </text>
    </comment>
    <comment ref="D5737" authorId="2">
      <text>
        <r>
          <rPr>
            <sz val="11"/>
            <color theme="1"/>
            <rFont val="Calibri"/>
            <family val="2"/>
            <scheme val="minor"/>
          </rPr>
          <t>Seleccione el tipo de procedimiento</t>
        </r>
      </text>
    </comment>
    <comment ref="E5737" authorId="2">
      <text>
        <r>
          <rPr>
            <sz val="11"/>
            <color theme="1"/>
            <rFont val="Calibri"/>
            <family val="2"/>
            <scheme val="minor"/>
          </rPr>
          <t>Seleccione un valor de la lista</t>
        </r>
      </text>
    </comment>
    <comment ref="F5737" authorId="2">
      <text>
        <r>
          <rPr>
            <sz val="11"/>
            <color theme="1"/>
            <rFont val="Calibri"/>
            <family val="2"/>
            <scheme val="minor"/>
          </rPr>
          <t>Introduzca el código SNIP</t>
        </r>
      </text>
    </comment>
    <comment ref="C5738" authorId="2">
      <text>
        <r>
          <rPr>
            <sz val="11"/>
            <color theme="1"/>
            <rFont val="Calibri"/>
            <family val="2"/>
            <scheme val="minor"/>
          </rPr>
          <t>Introduzca la fecha de inicio del proceso, en formato dd-mm-aaaa</t>
        </r>
      </text>
    </comment>
    <comment ref="F57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9" authorId="2">
      <text/>
    </comment>
    <comment ref="C5740" authorId="2">
      <text>
        <r>
          <rPr>
            <sz val="11"/>
            <color theme="1"/>
            <rFont val="Calibri"/>
            <family val="2"/>
            <scheme val="minor"/>
          </rPr>
          <t>Introduzca la fecha prevista de adjudicación, en formato dd-mm-aaaa</t>
        </r>
      </text>
    </comment>
    <comment ref="F5740" authorId="2">
      <text/>
    </comment>
    <comment ref="F5741" authorId="2">
      <text/>
    </comment>
    <comment ref="A5743" authorId="2">
      <text>
        <r>
          <rPr>
            <sz val="11"/>
            <color theme="1"/>
            <rFont val="Calibri"/>
            <family val="2"/>
            <scheme val="minor"/>
          </rPr>
          <t>Introduzca un codigo UNSPSC</t>
        </r>
      </text>
    </comment>
    <comment ref="B5743" authorId="2">
      <text>
        <r>
          <rPr>
            <sz val="11"/>
            <color theme="1"/>
            <rFont val="Calibri"/>
            <family val="2"/>
            <scheme val="minor"/>
          </rPr>
          <t>Descripción calculada automáticamente a partir de código del artículo</t>
        </r>
      </text>
    </comment>
    <comment ref="C5743" authorId="2">
      <text>
        <r>
          <rPr>
            <sz val="11"/>
            <color theme="1"/>
            <rFont val="Calibri"/>
            <family val="2"/>
            <scheme val="minor"/>
          </rPr>
          <t>Seleccione un valor de la lista</t>
        </r>
      </text>
    </comment>
    <comment ref="D5743" authorId="2">
      <text>
        <r>
          <rPr>
            <sz val="11"/>
            <color theme="1"/>
            <rFont val="Calibri"/>
            <family val="2"/>
            <scheme val="minor"/>
          </rPr>
          <t>Introduzca un número con dos decimales como máximo. Debe ser igual o mayor a la "Cantidad Real Consumida"</t>
        </r>
      </text>
    </comment>
    <comment ref="E5743" authorId="2">
      <text>
        <r>
          <rPr>
            <sz val="11"/>
            <color theme="1"/>
            <rFont val="Calibri"/>
            <family val="2"/>
            <scheme val="minor"/>
          </rPr>
          <t>Introduzca un número con dos decimales como máximo</t>
        </r>
      </text>
    </comment>
    <comment ref="F5743" authorId="2">
      <text>
        <r>
          <rPr>
            <sz val="11"/>
            <color theme="1"/>
            <rFont val="Calibri"/>
            <family val="2"/>
            <scheme val="minor"/>
          </rPr>
          <t>Monto calculado automáticamente por el sistema</t>
        </r>
      </text>
    </comment>
    <comment ref="A5750" authorId="2">
      <text>
        <r>
          <rPr>
            <sz val="11"/>
            <color theme="1"/>
            <rFont val="Calibri"/>
            <family val="2"/>
            <scheme val="minor"/>
          </rPr>
          <t>Introducir un texto con el nombre o referencia de la contratación</t>
        </r>
      </text>
    </comment>
    <comment ref="B5750" authorId="2">
      <text>
        <r>
          <rPr>
            <sz val="11"/>
            <color theme="1"/>
            <rFont val="Calibri"/>
            <family val="2"/>
            <scheme val="minor"/>
          </rPr>
          <t>Introduzca un texto con la finalidad de la contratación</t>
        </r>
      </text>
    </comment>
    <comment ref="C5750" authorId="2">
      <text>
        <r>
          <rPr>
            <sz val="11"/>
            <color theme="1"/>
            <rFont val="Calibri"/>
            <family val="2"/>
            <scheme val="minor"/>
          </rPr>
          <t>Seleccionar un valor del listado</t>
        </r>
      </text>
    </comment>
    <comment ref="D5750" authorId="2">
      <text>
        <r>
          <rPr>
            <sz val="11"/>
            <color theme="1"/>
            <rFont val="Calibri"/>
            <family val="2"/>
            <scheme val="minor"/>
          </rPr>
          <t>Seleccione el tipo de procedimiento</t>
        </r>
      </text>
    </comment>
    <comment ref="E5750" authorId="2">
      <text>
        <r>
          <rPr>
            <sz val="11"/>
            <color theme="1"/>
            <rFont val="Calibri"/>
            <family val="2"/>
            <scheme val="minor"/>
          </rPr>
          <t>Seleccione un valor de la lista</t>
        </r>
      </text>
    </comment>
    <comment ref="F5750" authorId="2">
      <text>
        <r>
          <rPr>
            <sz val="11"/>
            <color theme="1"/>
            <rFont val="Calibri"/>
            <family val="2"/>
            <scheme val="minor"/>
          </rPr>
          <t>Introduzca el código SNIP</t>
        </r>
      </text>
    </comment>
    <comment ref="C5751" authorId="2">
      <text>
        <r>
          <rPr>
            <sz val="11"/>
            <color theme="1"/>
            <rFont val="Calibri"/>
            <family val="2"/>
            <scheme val="minor"/>
          </rPr>
          <t>Introduzca la fecha de inicio del proceso, en formato dd-mm-aaaa</t>
        </r>
      </text>
    </comment>
    <comment ref="F57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2" authorId="2">
      <text/>
    </comment>
    <comment ref="C5753" authorId="2">
      <text>
        <r>
          <rPr>
            <sz val="11"/>
            <color theme="1"/>
            <rFont val="Calibri"/>
            <family val="2"/>
            <scheme val="minor"/>
          </rPr>
          <t>Introduzca la fecha prevista de adjudicación, en formato dd-mm-aaaa</t>
        </r>
      </text>
    </comment>
    <comment ref="F5753" authorId="2">
      <text/>
    </comment>
    <comment ref="F5754" authorId="2">
      <text/>
    </comment>
    <comment ref="A5756" authorId="2">
      <text>
        <r>
          <rPr>
            <sz val="11"/>
            <color theme="1"/>
            <rFont val="Calibri"/>
            <family val="2"/>
            <scheme val="minor"/>
          </rPr>
          <t>Introduzca un codigo UNSPSC</t>
        </r>
      </text>
    </comment>
    <comment ref="B5756" authorId="2">
      <text>
        <r>
          <rPr>
            <sz val="11"/>
            <color theme="1"/>
            <rFont val="Calibri"/>
            <family val="2"/>
            <scheme val="minor"/>
          </rPr>
          <t>Descripción calculada automáticamente a partir de código del artículo</t>
        </r>
      </text>
    </comment>
    <comment ref="C5756" authorId="2">
      <text>
        <r>
          <rPr>
            <sz val="11"/>
            <color theme="1"/>
            <rFont val="Calibri"/>
            <family val="2"/>
            <scheme val="minor"/>
          </rPr>
          <t>Seleccione un valor de la lista</t>
        </r>
      </text>
    </comment>
    <comment ref="D5756" authorId="2">
      <text>
        <r>
          <rPr>
            <sz val="11"/>
            <color theme="1"/>
            <rFont val="Calibri"/>
            <family val="2"/>
            <scheme val="minor"/>
          </rPr>
          <t>Introduzca un número con dos decimales como máximo. Debe ser igual o mayor a la "Cantidad Real Consumida"</t>
        </r>
      </text>
    </comment>
    <comment ref="E5756" authorId="2">
      <text>
        <r>
          <rPr>
            <sz val="11"/>
            <color theme="1"/>
            <rFont val="Calibri"/>
            <family val="2"/>
            <scheme val="minor"/>
          </rPr>
          <t>Introduzca un número con dos decimales como máximo</t>
        </r>
      </text>
    </comment>
    <comment ref="F5756" authorId="2">
      <text>
        <r>
          <rPr>
            <sz val="11"/>
            <color theme="1"/>
            <rFont val="Calibri"/>
            <family val="2"/>
            <scheme val="minor"/>
          </rPr>
          <t>Monto calculado automáticamente por el sistema</t>
        </r>
      </text>
    </comment>
    <comment ref="A5762" authorId="2">
      <text>
        <r>
          <rPr>
            <sz val="11"/>
            <color theme="1"/>
            <rFont val="Calibri"/>
            <family val="2"/>
            <scheme val="minor"/>
          </rPr>
          <t>Introducir un texto con el nombre o referencia de la contratación</t>
        </r>
      </text>
    </comment>
    <comment ref="B5762" authorId="2">
      <text>
        <r>
          <rPr>
            <sz val="11"/>
            <color theme="1"/>
            <rFont val="Calibri"/>
            <family val="2"/>
            <scheme val="minor"/>
          </rPr>
          <t>Introduzca un texto con la finalidad de la contratación</t>
        </r>
      </text>
    </comment>
    <comment ref="C5762" authorId="2">
      <text>
        <r>
          <rPr>
            <sz val="11"/>
            <color theme="1"/>
            <rFont val="Calibri"/>
            <family val="2"/>
            <scheme val="minor"/>
          </rPr>
          <t>Seleccionar un valor del listado</t>
        </r>
      </text>
    </comment>
    <comment ref="D5762" authorId="2">
      <text>
        <r>
          <rPr>
            <sz val="11"/>
            <color theme="1"/>
            <rFont val="Calibri"/>
            <family val="2"/>
            <scheme val="minor"/>
          </rPr>
          <t>Seleccione el tipo de procedimiento</t>
        </r>
      </text>
    </comment>
    <comment ref="E5762" authorId="2">
      <text>
        <r>
          <rPr>
            <sz val="11"/>
            <color theme="1"/>
            <rFont val="Calibri"/>
            <family val="2"/>
            <scheme val="minor"/>
          </rPr>
          <t>Seleccione un valor de la lista</t>
        </r>
      </text>
    </comment>
    <comment ref="F5762" authorId="2">
      <text>
        <r>
          <rPr>
            <sz val="11"/>
            <color theme="1"/>
            <rFont val="Calibri"/>
            <family val="2"/>
            <scheme val="minor"/>
          </rPr>
          <t>Introduzca el código SNIP</t>
        </r>
      </text>
    </comment>
    <comment ref="C5763" authorId="2">
      <text>
        <r>
          <rPr>
            <sz val="11"/>
            <color theme="1"/>
            <rFont val="Calibri"/>
            <family val="2"/>
            <scheme val="minor"/>
          </rPr>
          <t>Introduzca la fecha de inicio del proceso, en formato dd-mm-aaaa</t>
        </r>
      </text>
    </comment>
    <comment ref="F57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4" authorId="2">
      <text/>
    </comment>
    <comment ref="C5765" authorId="2">
      <text>
        <r>
          <rPr>
            <sz val="11"/>
            <color theme="1"/>
            <rFont val="Calibri"/>
            <family val="2"/>
            <scheme val="minor"/>
          </rPr>
          <t>Introduzca la fecha prevista de adjudicación, en formato dd-mm-aaaa</t>
        </r>
      </text>
    </comment>
    <comment ref="F5765" authorId="2">
      <text/>
    </comment>
    <comment ref="F5766" authorId="2">
      <text/>
    </comment>
    <comment ref="A5768" authorId="2">
      <text>
        <r>
          <rPr>
            <sz val="11"/>
            <color theme="1"/>
            <rFont val="Calibri"/>
            <family val="2"/>
            <scheme val="minor"/>
          </rPr>
          <t>Introduzca un codigo UNSPSC</t>
        </r>
      </text>
    </comment>
    <comment ref="B5768" authorId="2">
      <text>
        <r>
          <rPr>
            <sz val="11"/>
            <color theme="1"/>
            <rFont val="Calibri"/>
            <family val="2"/>
            <scheme val="minor"/>
          </rPr>
          <t>Descripción calculada automáticamente a partir de código del artículo</t>
        </r>
      </text>
    </comment>
    <comment ref="C5768" authorId="2">
      <text>
        <r>
          <rPr>
            <sz val="11"/>
            <color theme="1"/>
            <rFont val="Calibri"/>
            <family val="2"/>
            <scheme val="minor"/>
          </rPr>
          <t>Seleccione un valor de la lista</t>
        </r>
      </text>
    </comment>
    <comment ref="D5768" authorId="2">
      <text>
        <r>
          <rPr>
            <sz val="11"/>
            <color theme="1"/>
            <rFont val="Calibri"/>
            <family val="2"/>
            <scheme val="minor"/>
          </rPr>
          <t>Introduzca un número con dos decimales como máximo. Debe ser igual o mayor a la "Cantidad Real Consumida"</t>
        </r>
      </text>
    </comment>
    <comment ref="E5768" authorId="2">
      <text>
        <r>
          <rPr>
            <sz val="11"/>
            <color theme="1"/>
            <rFont val="Calibri"/>
            <family val="2"/>
            <scheme val="minor"/>
          </rPr>
          <t>Introduzca un número con dos decimales como máximo</t>
        </r>
      </text>
    </comment>
    <comment ref="F5768" authorId="2">
      <text>
        <r>
          <rPr>
            <sz val="11"/>
            <color theme="1"/>
            <rFont val="Calibri"/>
            <family val="2"/>
            <scheme val="minor"/>
          </rPr>
          <t>Monto calculado automáticamente por el sistema</t>
        </r>
      </text>
    </comment>
    <comment ref="A5774" authorId="2">
      <text>
        <r>
          <rPr>
            <sz val="11"/>
            <color theme="1"/>
            <rFont val="Calibri"/>
            <family val="2"/>
            <scheme val="minor"/>
          </rPr>
          <t>Introducir un texto con el nombre o referencia de la contratación</t>
        </r>
      </text>
    </comment>
    <comment ref="B5774" authorId="2">
      <text>
        <r>
          <rPr>
            <sz val="11"/>
            <color theme="1"/>
            <rFont val="Calibri"/>
            <family val="2"/>
            <scheme val="minor"/>
          </rPr>
          <t>Introduzca un texto con la finalidad de la contratación</t>
        </r>
      </text>
    </comment>
    <comment ref="C5774" authorId="2">
      <text>
        <r>
          <rPr>
            <sz val="11"/>
            <color theme="1"/>
            <rFont val="Calibri"/>
            <family val="2"/>
            <scheme val="minor"/>
          </rPr>
          <t>Seleccionar un valor del listado</t>
        </r>
      </text>
    </comment>
    <comment ref="D5774" authorId="2">
      <text>
        <r>
          <rPr>
            <sz val="11"/>
            <color theme="1"/>
            <rFont val="Calibri"/>
            <family val="2"/>
            <scheme val="minor"/>
          </rPr>
          <t>Seleccione el tipo de procedimiento</t>
        </r>
      </text>
    </comment>
    <comment ref="E5774" authorId="2">
      <text>
        <r>
          <rPr>
            <sz val="11"/>
            <color theme="1"/>
            <rFont val="Calibri"/>
            <family val="2"/>
            <scheme val="minor"/>
          </rPr>
          <t>Seleccione un valor de la lista</t>
        </r>
      </text>
    </comment>
    <comment ref="F5774" authorId="2">
      <text>
        <r>
          <rPr>
            <sz val="11"/>
            <color theme="1"/>
            <rFont val="Calibri"/>
            <family val="2"/>
            <scheme val="minor"/>
          </rPr>
          <t>Introduzca el código SNIP</t>
        </r>
      </text>
    </comment>
    <comment ref="C5775" authorId="2">
      <text>
        <r>
          <rPr>
            <sz val="11"/>
            <color theme="1"/>
            <rFont val="Calibri"/>
            <family val="2"/>
            <scheme val="minor"/>
          </rPr>
          <t>Introduzca la fecha de inicio del proceso, en formato dd-mm-aaaa</t>
        </r>
      </text>
    </comment>
    <comment ref="F57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6" authorId="2">
      <text/>
    </comment>
    <comment ref="C5777" authorId="2">
      <text>
        <r>
          <rPr>
            <sz val="11"/>
            <color theme="1"/>
            <rFont val="Calibri"/>
            <family val="2"/>
            <scheme val="minor"/>
          </rPr>
          <t>Introduzca la fecha prevista de adjudicación, en formato dd-mm-aaaa</t>
        </r>
      </text>
    </comment>
    <comment ref="F5777" authorId="2">
      <text/>
    </comment>
    <comment ref="F5778" authorId="2">
      <text/>
    </comment>
    <comment ref="A5780" authorId="2">
      <text>
        <r>
          <rPr>
            <sz val="11"/>
            <color theme="1"/>
            <rFont val="Calibri"/>
            <family val="2"/>
            <scheme val="minor"/>
          </rPr>
          <t>Introduzca un codigo UNSPSC</t>
        </r>
      </text>
    </comment>
    <comment ref="B5780" authorId="2">
      <text>
        <r>
          <rPr>
            <sz val="11"/>
            <color theme="1"/>
            <rFont val="Calibri"/>
            <family val="2"/>
            <scheme val="minor"/>
          </rPr>
          <t>Descripción calculada automáticamente a partir de código del artículo</t>
        </r>
      </text>
    </comment>
    <comment ref="C5780" authorId="2">
      <text>
        <r>
          <rPr>
            <sz val="11"/>
            <color theme="1"/>
            <rFont val="Calibri"/>
            <family val="2"/>
            <scheme val="minor"/>
          </rPr>
          <t>Seleccione un valor de la lista</t>
        </r>
      </text>
    </comment>
    <comment ref="D5780" authorId="2">
      <text>
        <r>
          <rPr>
            <sz val="11"/>
            <color theme="1"/>
            <rFont val="Calibri"/>
            <family val="2"/>
            <scheme val="minor"/>
          </rPr>
          <t>Introduzca un número con dos decimales como máximo. Debe ser igual o mayor a la "Cantidad Real Consumida"</t>
        </r>
      </text>
    </comment>
    <comment ref="E5780" authorId="2">
      <text>
        <r>
          <rPr>
            <sz val="11"/>
            <color theme="1"/>
            <rFont val="Calibri"/>
            <family val="2"/>
            <scheme val="minor"/>
          </rPr>
          <t>Introduzca un número con dos decimales como máximo</t>
        </r>
      </text>
    </comment>
    <comment ref="F5780" authorId="2">
      <text>
        <r>
          <rPr>
            <sz val="11"/>
            <color theme="1"/>
            <rFont val="Calibri"/>
            <family val="2"/>
            <scheme val="minor"/>
          </rPr>
          <t>Monto calculado automáticamente por el sistema</t>
        </r>
      </text>
    </comment>
    <comment ref="A5785" authorId="2">
      <text>
        <r>
          <rPr>
            <sz val="11"/>
            <color theme="1"/>
            <rFont val="Calibri"/>
            <family val="2"/>
            <scheme val="minor"/>
          </rPr>
          <t>Introducir un texto con el nombre o referencia de la contratación</t>
        </r>
      </text>
    </comment>
    <comment ref="B5785" authorId="2">
      <text>
        <r>
          <rPr>
            <sz val="11"/>
            <color theme="1"/>
            <rFont val="Calibri"/>
            <family val="2"/>
            <scheme val="minor"/>
          </rPr>
          <t>Introduzca un texto con la finalidad de la contratación</t>
        </r>
      </text>
    </comment>
    <comment ref="C5785" authorId="2">
      <text>
        <r>
          <rPr>
            <sz val="11"/>
            <color theme="1"/>
            <rFont val="Calibri"/>
            <family val="2"/>
            <scheme val="minor"/>
          </rPr>
          <t>Seleccionar un valor del listado</t>
        </r>
      </text>
    </comment>
    <comment ref="D5785" authorId="2">
      <text>
        <r>
          <rPr>
            <sz val="11"/>
            <color theme="1"/>
            <rFont val="Calibri"/>
            <family val="2"/>
            <scheme val="minor"/>
          </rPr>
          <t>Seleccione el tipo de procedimiento</t>
        </r>
      </text>
    </comment>
    <comment ref="E5785" authorId="2">
      <text>
        <r>
          <rPr>
            <sz val="11"/>
            <color theme="1"/>
            <rFont val="Calibri"/>
            <family val="2"/>
            <scheme val="minor"/>
          </rPr>
          <t>Seleccione un valor de la lista</t>
        </r>
      </text>
    </comment>
    <comment ref="F5785" authorId="2">
      <text>
        <r>
          <rPr>
            <sz val="11"/>
            <color theme="1"/>
            <rFont val="Calibri"/>
            <family val="2"/>
            <scheme val="minor"/>
          </rPr>
          <t>Introduzca el código SNIP</t>
        </r>
      </text>
    </comment>
    <comment ref="C5786" authorId="2">
      <text>
        <r>
          <rPr>
            <sz val="11"/>
            <color theme="1"/>
            <rFont val="Calibri"/>
            <family val="2"/>
            <scheme val="minor"/>
          </rPr>
          <t>Introduzca la fecha de inicio del proceso, en formato dd-mm-aaaa</t>
        </r>
      </text>
    </comment>
    <comment ref="F57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7" authorId="2">
      <text/>
    </comment>
    <comment ref="C5788" authorId="2">
      <text>
        <r>
          <rPr>
            <sz val="11"/>
            <color theme="1"/>
            <rFont val="Calibri"/>
            <family val="2"/>
            <scheme val="minor"/>
          </rPr>
          <t>Introduzca la fecha prevista de adjudicación, en formato dd-mm-aaaa</t>
        </r>
      </text>
    </comment>
    <comment ref="F5788" authorId="2">
      <text/>
    </comment>
    <comment ref="F5789" authorId="2">
      <text/>
    </comment>
    <comment ref="A5791" authorId="2">
      <text>
        <r>
          <rPr>
            <sz val="11"/>
            <color theme="1"/>
            <rFont val="Calibri"/>
            <family val="2"/>
            <scheme val="minor"/>
          </rPr>
          <t>Introduzca un codigo UNSPSC</t>
        </r>
      </text>
    </comment>
    <comment ref="B5791" authorId="2">
      <text>
        <r>
          <rPr>
            <sz val="11"/>
            <color theme="1"/>
            <rFont val="Calibri"/>
            <family val="2"/>
            <scheme val="minor"/>
          </rPr>
          <t>Descripción calculada automáticamente a partir de código del artículo</t>
        </r>
      </text>
    </comment>
    <comment ref="C5791" authorId="2">
      <text>
        <r>
          <rPr>
            <sz val="11"/>
            <color theme="1"/>
            <rFont val="Calibri"/>
            <family val="2"/>
            <scheme val="minor"/>
          </rPr>
          <t>Seleccione un valor de la lista</t>
        </r>
      </text>
    </comment>
    <comment ref="D5791" authorId="2">
      <text>
        <r>
          <rPr>
            <sz val="11"/>
            <color theme="1"/>
            <rFont val="Calibri"/>
            <family val="2"/>
            <scheme val="minor"/>
          </rPr>
          <t>Introduzca un número con dos decimales como máximo. Debe ser igual o mayor a la "Cantidad Real Consumida"</t>
        </r>
      </text>
    </comment>
    <comment ref="E5791" authorId="2">
      <text>
        <r>
          <rPr>
            <sz val="11"/>
            <color theme="1"/>
            <rFont val="Calibri"/>
            <family val="2"/>
            <scheme val="minor"/>
          </rPr>
          <t>Introduzca un número con dos decimales como máximo</t>
        </r>
      </text>
    </comment>
    <comment ref="F5791" authorId="2">
      <text>
        <r>
          <rPr>
            <sz val="11"/>
            <color theme="1"/>
            <rFont val="Calibri"/>
            <family val="2"/>
            <scheme val="minor"/>
          </rPr>
          <t>Monto calculado automáticamente por el sistema</t>
        </r>
      </text>
    </comment>
    <comment ref="A5797" authorId="2">
      <text>
        <r>
          <rPr>
            <sz val="11"/>
            <color theme="1"/>
            <rFont val="Calibri"/>
            <family val="2"/>
            <scheme val="minor"/>
          </rPr>
          <t>Introducir un texto con el nombre o referencia de la contratación</t>
        </r>
      </text>
    </comment>
    <comment ref="B5797" authorId="2">
      <text>
        <r>
          <rPr>
            <sz val="11"/>
            <color theme="1"/>
            <rFont val="Calibri"/>
            <family val="2"/>
            <scheme val="minor"/>
          </rPr>
          <t>Introduzca un texto con la finalidad de la contratación</t>
        </r>
      </text>
    </comment>
    <comment ref="C5797" authorId="2">
      <text>
        <r>
          <rPr>
            <sz val="11"/>
            <color theme="1"/>
            <rFont val="Calibri"/>
            <family val="2"/>
            <scheme val="minor"/>
          </rPr>
          <t>Seleccionar un valor del listado</t>
        </r>
      </text>
    </comment>
    <comment ref="D5797" authorId="2">
      <text>
        <r>
          <rPr>
            <sz val="11"/>
            <color theme="1"/>
            <rFont val="Calibri"/>
            <family val="2"/>
            <scheme val="minor"/>
          </rPr>
          <t>Seleccione el tipo de procedimiento</t>
        </r>
      </text>
    </comment>
    <comment ref="E5797" authorId="2">
      <text>
        <r>
          <rPr>
            <sz val="11"/>
            <color theme="1"/>
            <rFont val="Calibri"/>
            <family val="2"/>
            <scheme val="minor"/>
          </rPr>
          <t>Seleccione un valor de la lista</t>
        </r>
      </text>
    </comment>
    <comment ref="F5797" authorId="2">
      <text>
        <r>
          <rPr>
            <sz val="11"/>
            <color theme="1"/>
            <rFont val="Calibri"/>
            <family val="2"/>
            <scheme val="minor"/>
          </rPr>
          <t>Introduzca el código SNIP</t>
        </r>
      </text>
    </comment>
    <comment ref="C5798" authorId="2">
      <text>
        <r>
          <rPr>
            <sz val="11"/>
            <color theme="1"/>
            <rFont val="Calibri"/>
            <family val="2"/>
            <scheme val="minor"/>
          </rPr>
          <t>Introduzca la fecha de inicio del proceso, en formato dd-mm-aaaa</t>
        </r>
      </text>
    </comment>
    <comment ref="F57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9" authorId="2">
      <text/>
    </comment>
    <comment ref="C5800" authorId="2">
      <text>
        <r>
          <rPr>
            <sz val="11"/>
            <color theme="1"/>
            <rFont val="Calibri"/>
            <family val="2"/>
            <scheme val="minor"/>
          </rPr>
          <t>Introduzca la fecha prevista de adjudicación, en formato dd-mm-aaaa</t>
        </r>
      </text>
    </comment>
    <comment ref="F5800" authorId="2">
      <text/>
    </comment>
    <comment ref="F5801" authorId="2">
      <text/>
    </comment>
    <comment ref="A5803" authorId="2">
      <text>
        <r>
          <rPr>
            <sz val="11"/>
            <color theme="1"/>
            <rFont val="Calibri"/>
            <family val="2"/>
            <scheme val="minor"/>
          </rPr>
          <t>Introduzca un codigo UNSPSC</t>
        </r>
      </text>
    </comment>
    <comment ref="B5803" authorId="2">
      <text>
        <r>
          <rPr>
            <sz val="11"/>
            <color theme="1"/>
            <rFont val="Calibri"/>
            <family val="2"/>
            <scheme val="minor"/>
          </rPr>
          <t>Descripción calculada automáticamente a partir de código del artículo</t>
        </r>
      </text>
    </comment>
    <comment ref="C5803" authorId="2">
      <text>
        <r>
          <rPr>
            <sz val="11"/>
            <color theme="1"/>
            <rFont val="Calibri"/>
            <family val="2"/>
            <scheme val="minor"/>
          </rPr>
          <t>Seleccione un valor de la lista</t>
        </r>
      </text>
    </comment>
    <comment ref="D5803" authorId="2">
      <text>
        <r>
          <rPr>
            <sz val="11"/>
            <color theme="1"/>
            <rFont val="Calibri"/>
            <family val="2"/>
            <scheme val="minor"/>
          </rPr>
          <t>Introduzca un número con dos decimales como máximo. Debe ser igual o mayor a la "Cantidad Real Consumida"</t>
        </r>
      </text>
    </comment>
    <comment ref="E5803" authorId="2">
      <text>
        <r>
          <rPr>
            <sz val="11"/>
            <color theme="1"/>
            <rFont val="Calibri"/>
            <family val="2"/>
            <scheme val="minor"/>
          </rPr>
          <t>Introduzca un número con dos decimales como máximo</t>
        </r>
      </text>
    </comment>
    <comment ref="F5803" authorId="2">
      <text>
        <r>
          <rPr>
            <sz val="11"/>
            <color theme="1"/>
            <rFont val="Calibri"/>
            <family val="2"/>
            <scheme val="minor"/>
          </rPr>
          <t>Monto calculado automáticamente por el sistema</t>
        </r>
      </text>
    </comment>
    <comment ref="A5814" authorId="2">
      <text>
        <r>
          <rPr>
            <sz val="11"/>
            <color theme="1"/>
            <rFont val="Calibri"/>
            <family val="2"/>
            <scheme val="minor"/>
          </rPr>
          <t>Introducir un texto con el nombre o referencia de la contratación</t>
        </r>
      </text>
    </comment>
    <comment ref="B5814" authorId="2">
      <text>
        <r>
          <rPr>
            <sz val="11"/>
            <color theme="1"/>
            <rFont val="Calibri"/>
            <family val="2"/>
            <scheme val="minor"/>
          </rPr>
          <t>Introduzca un texto con la finalidad de la contratación</t>
        </r>
      </text>
    </comment>
    <comment ref="C5814" authorId="2">
      <text>
        <r>
          <rPr>
            <sz val="11"/>
            <color theme="1"/>
            <rFont val="Calibri"/>
            <family val="2"/>
            <scheme val="minor"/>
          </rPr>
          <t>Seleccionar un valor del listado</t>
        </r>
      </text>
    </comment>
    <comment ref="D5814" authorId="2">
      <text>
        <r>
          <rPr>
            <sz val="11"/>
            <color theme="1"/>
            <rFont val="Calibri"/>
            <family val="2"/>
            <scheme val="minor"/>
          </rPr>
          <t>Seleccione el tipo de procedimiento</t>
        </r>
      </text>
    </comment>
    <comment ref="E5814" authorId="2">
      <text>
        <r>
          <rPr>
            <sz val="11"/>
            <color theme="1"/>
            <rFont val="Calibri"/>
            <family val="2"/>
            <scheme val="minor"/>
          </rPr>
          <t>Seleccione un valor de la lista</t>
        </r>
      </text>
    </comment>
    <comment ref="F5814" authorId="2">
      <text>
        <r>
          <rPr>
            <sz val="11"/>
            <color theme="1"/>
            <rFont val="Calibri"/>
            <family val="2"/>
            <scheme val="minor"/>
          </rPr>
          <t>Introduzca el código SNIP</t>
        </r>
      </text>
    </comment>
    <comment ref="C5815" authorId="2">
      <text>
        <r>
          <rPr>
            <sz val="11"/>
            <color theme="1"/>
            <rFont val="Calibri"/>
            <family val="2"/>
            <scheme val="minor"/>
          </rPr>
          <t>Introduzca la fecha de inicio del proceso, en formato dd-mm-aaaa</t>
        </r>
      </text>
    </comment>
    <comment ref="F58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6" authorId="2">
      <text/>
    </comment>
    <comment ref="C5817" authorId="2">
      <text>
        <r>
          <rPr>
            <sz val="11"/>
            <color theme="1"/>
            <rFont val="Calibri"/>
            <family val="2"/>
            <scheme val="minor"/>
          </rPr>
          <t>Introduzca la fecha prevista de adjudicación, en formato dd-mm-aaaa</t>
        </r>
      </text>
    </comment>
    <comment ref="F5817" authorId="2">
      <text/>
    </comment>
    <comment ref="F5818" authorId="2">
      <text/>
    </comment>
    <comment ref="A5820" authorId="2">
      <text>
        <r>
          <rPr>
            <sz val="11"/>
            <color theme="1"/>
            <rFont val="Calibri"/>
            <family val="2"/>
            <scheme val="minor"/>
          </rPr>
          <t>Introduzca un codigo UNSPSC</t>
        </r>
      </text>
    </comment>
    <comment ref="B5820" authorId="2">
      <text>
        <r>
          <rPr>
            <sz val="11"/>
            <color theme="1"/>
            <rFont val="Calibri"/>
            <family val="2"/>
            <scheme val="minor"/>
          </rPr>
          <t>Descripción calculada automáticamente a partir de código del artículo</t>
        </r>
      </text>
    </comment>
    <comment ref="C5820" authorId="2">
      <text>
        <r>
          <rPr>
            <sz val="11"/>
            <color theme="1"/>
            <rFont val="Calibri"/>
            <family val="2"/>
            <scheme val="minor"/>
          </rPr>
          <t>Seleccione un valor de la lista</t>
        </r>
      </text>
    </comment>
    <comment ref="D5820" authorId="2">
      <text>
        <r>
          <rPr>
            <sz val="11"/>
            <color theme="1"/>
            <rFont val="Calibri"/>
            <family val="2"/>
            <scheme val="minor"/>
          </rPr>
          <t>Introduzca un número con dos decimales como máximo. Debe ser igual o mayor a la "Cantidad Real Consumida"</t>
        </r>
      </text>
    </comment>
    <comment ref="E5820" authorId="2">
      <text>
        <r>
          <rPr>
            <sz val="11"/>
            <color theme="1"/>
            <rFont val="Calibri"/>
            <family val="2"/>
            <scheme val="minor"/>
          </rPr>
          <t>Introduzca un número con dos decimales como máximo</t>
        </r>
      </text>
    </comment>
    <comment ref="F5820" authorId="2">
      <text>
        <r>
          <rPr>
            <sz val="11"/>
            <color theme="1"/>
            <rFont val="Calibri"/>
            <family val="2"/>
            <scheme val="minor"/>
          </rPr>
          <t>Monto calculado automáticamente por el sistema</t>
        </r>
      </text>
    </comment>
    <comment ref="A5825" authorId="2">
      <text>
        <r>
          <rPr>
            <sz val="11"/>
            <color theme="1"/>
            <rFont val="Calibri"/>
            <family val="2"/>
            <scheme val="minor"/>
          </rPr>
          <t>Introducir un texto con el nombre o referencia de la contratación</t>
        </r>
      </text>
    </comment>
    <comment ref="B5825" authorId="2">
      <text>
        <r>
          <rPr>
            <sz val="11"/>
            <color theme="1"/>
            <rFont val="Calibri"/>
            <family val="2"/>
            <scheme val="minor"/>
          </rPr>
          <t>Introduzca un texto con la finalidad de la contratación</t>
        </r>
      </text>
    </comment>
    <comment ref="C5825" authorId="2">
      <text>
        <r>
          <rPr>
            <sz val="11"/>
            <color theme="1"/>
            <rFont val="Calibri"/>
            <family val="2"/>
            <scheme val="minor"/>
          </rPr>
          <t>Seleccionar un valor del listado</t>
        </r>
      </text>
    </comment>
    <comment ref="D5825" authorId="2">
      <text>
        <r>
          <rPr>
            <sz val="11"/>
            <color theme="1"/>
            <rFont val="Calibri"/>
            <family val="2"/>
            <scheme val="minor"/>
          </rPr>
          <t>Seleccione el tipo de procedimiento</t>
        </r>
      </text>
    </comment>
    <comment ref="E5825" authorId="2">
      <text>
        <r>
          <rPr>
            <sz val="11"/>
            <color theme="1"/>
            <rFont val="Calibri"/>
            <family val="2"/>
            <scheme val="minor"/>
          </rPr>
          <t>Seleccione un valor de la lista</t>
        </r>
      </text>
    </comment>
    <comment ref="F5825" authorId="2">
      <text>
        <r>
          <rPr>
            <sz val="11"/>
            <color theme="1"/>
            <rFont val="Calibri"/>
            <family val="2"/>
            <scheme val="minor"/>
          </rPr>
          <t>Introduzca el código SNIP</t>
        </r>
      </text>
    </comment>
    <comment ref="C5826" authorId="2">
      <text>
        <r>
          <rPr>
            <sz val="11"/>
            <color theme="1"/>
            <rFont val="Calibri"/>
            <family val="2"/>
            <scheme val="minor"/>
          </rPr>
          <t>Introduzca la fecha de inicio del proceso, en formato dd-mm-aaaa</t>
        </r>
      </text>
    </comment>
    <comment ref="F58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7" authorId="2">
      <text/>
    </comment>
    <comment ref="C5828" authorId="2">
      <text>
        <r>
          <rPr>
            <sz val="11"/>
            <color theme="1"/>
            <rFont val="Calibri"/>
            <family val="2"/>
            <scheme val="minor"/>
          </rPr>
          <t>Introduzca la fecha prevista de adjudicación, en formato dd-mm-aaaa</t>
        </r>
      </text>
    </comment>
    <comment ref="F5828" authorId="2">
      <text/>
    </comment>
    <comment ref="F5829" authorId="2">
      <text/>
    </comment>
    <comment ref="A5831" authorId="2">
      <text>
        <r>
          <rPr>
            <sz val="11"/>
            <color theme="1"/>
            <rFont val="Calibri"/>
            <family val="2"/>
            <scheme val="minor"/>
          </rPr>
          <t>Introduzca un codigo UNSPSC</t>
        </r>
      </text>
    </comment>
    <comment ref="B5831" authorId="2">
      <text>
        <r>
          <rPr>
            <sz val="11"/>
            <color theme="1"/>
            <rFont val="Calibri"/>
            <family val="2"/>
            <scheme val="minor"/>
          </rPr>
          <t>Descripción calculada automáticamente a partir de código del artículo</t>
        </r>
      </text>
    </comment>
    <comment ref="C5831" authorId="2">
      <text>
        <r>
          <rPr>
            <sz val="11"/>
            <color theme="1"/>
            <rFont val="Calibri"/>
            <family val="2"/>
            <scheme val="minor"/>
          </rPr>
          <t>Seleccione un valor de la lista</t>
        </r>
      </text>
    </comment>
    <comment ref="D5831" authorId="2">
      <text>
        <r>
          <rPr>
            <sz val="11"/>
            <color theme="1"/>
            <rFont val="Calibri"/>
            <family val="2"/>
            <scheme val="minor"/>
          </rPr>
          <t>Introduzca un número con dos decimales como máximo. Debe ser igual o mayor a la "Cantidad Real Consumida"</t>
        </r>
      </text>
    </comment>
    <comment ref="E5831" authorId="2">
      <text>
        <r>
          <rPr>
            <sz val="11"/>
            <color theme="1"/>
            <rFont val="Calibri"/>
            <family val="2"/>
            <scheme val="minor"/>
          </rPr>
          <t>Introduzca un número con dos decimales como máximo</t>
        </r>
      </text>
    </comment>
    <comment ref="F5831" authorId="2">
      <text>
        <r>
          <rPr>
            <sz val="11"/>
            <color theme="1"/>
            <rFont val="Calibri"/>
            <family val="2"/>
            <scheme val="minor"/>
          </rPr>
          <t>Monto calculado automáticamente por el sistema</t>
        </r>
      </text>
    </comment>
    <comment ref="A5836" authorId="2">
      <text>
        <r>
          <rPr>
            <sz val="11"/>
            <color theme="1"/>
            <rFont val="Calibri"/>
            <family val="2"/>
            <scheme val="minor"/>
          </rPr>
          <t>Introducir un texto con el nombre o referencia de la contratación</t>
        </r>
      </text>
    </comment>
    <comment ref="B5836" authorId="2">
      <text>
        <r>
          <rPr>
            <sz val="11"/>
            <color theme="1"/>
            <rFont val="Calibri"/>
            <family val="2"/>
            <scheme val="minor"/>
          </rPr>
          <t>Introduzca un texto con la finalidad de la contratación</t>
        </r>
      </text>
    </comment>
    <comment ref="C5836" authorId="2">
      <text>
        <r>
          <rPr>
            <sz val="11"/>
            <color theme="1"/>
            <rFont val="Calibri"/>
            <family val="2"/>
            <scheme val="minor"/>
          </rPr>
          <t>Seleccionar un valor del listado</t>
        </r>
      </text>
    </comment>
    <comment ref="D5836" authorId="2">
      <text>
        <r>
          <rPr>
            <sz val="11"/>
            <color theme="1"/>
            <rFont val="Calibri"/>
            <family val="2"/>
            <scheme val="minor"/>
          </rPr>
          <t>Seleccione el tipo de procedimiento</t>
        </r>
      </text>
    </comment>
    <comment ref="E5836" authorId="2">
      <text>
        <r>
          <rPr>
            <sz val="11"/>
            <color theme="1"/>
            <rFont val="Calibri"/>
            <family val="2"/>
            <scheme val="minor"/>
          </rPr>
          <t>Seleccione un valor de la lista</t>
        </r>
      </text>
    </comment>
    <comment ref="F5836" authorId="2">
      <text>
        <r>
          <rPr>
            <sz val="11"/>
            <color theme="1"/>
            <rFont val="Calibri"/>
            <family val="2"/>
            <scheme val="minor"/>
          </rPr>
          <t>Introduzca el código SNIP</t>
        </r>
      </text>
    </comment>
    <comment ref="C5837" authorId="2">
      <text>
        <r>
          <rPr>
            <sz val="11"/>
            <color theme="1"/>
            <rFont val="Calibri"/>
            <family val="2"/>
            <scheme val="minor"/>
          </rPr>
          <t>Introduzca la fecha de inicio del proceso, en formato dd-mm-aaaa</t>
        </r>
      </text>
    </comment>
    <comment ref="F58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8" authorId="2">
      <text/>
    </comment>
    <comment ref="C5839" authorId="2">
      <text>
        <r>
          <rPr>
            <sz val="11"/>
            <color theme="1"/>
            <rFont val="Calibri"/>
            <family val="2"/>
            <scheme val="minor"/>
          </rPr>
          <t>Introduzca la fecha prevista de adjudicación, en formato dd-mm-aaaa</t>
        </r>
      </text>
    </comment>
    <comment ref="F5839" authorId="2">
      <text/>
    </comment>
    <comment ref="F5840" authorId="2">
      <text/>
    </comment>
    <comment ref="A5842" authorId="2">
      <text>
        <r>
          <rPr>
            <sz val="11"/>
            <color theme="1"/>
            <rFont val="Calibri"/>
            <family val="2"/>
            <scheme val="minor"/>
          </rPr>
          <t>Introduzca un codigo UNSPSC</t>
        </r>
      </text>
    </comment>
    <comment ref="B5842" authorId="2">
      <text>
        <r>
          <rPr>
            <sz val="11"/>
            <color theme="1"/>
            <rFont val="Calibri"/>
            <family val="2"/>
            <scheme val="minor"/>
          </rPr>
          <t>Descripción calculada automáticamente a partir de código del artículo</t>
        </r>
      </text>
    </comment>
    <comment ref="C5842" authorId="2">
      <text>
        <r>
          <rPr>
            <sz val="11"/>
            <color theme="1"/>
            <rFont val="Calibri"/>
            <family val="2"/>
            <scheme val="minor"/>
          </rPr>
          <t>Seleccione un valor de la lista</t>
        </r>
      </text>
    </comment>
    <comment ref="D5842" authorId="2">
      <text>
        <r>
          <rPr>
            <sz val="11"/>
            <color theme="1"/>
            <rFont val="Calibri"/>
            <family val="2"/>
            <scheme val="minor"/>
          </rPr>
          <t>Introduzca un número con dos decimales como máximo. Debe ser igual o mayor a la "Cantidad Real Consumida"</t>
        </r>
      </text>
    </comment>
    <comment ref="E5842" authorId="2">
      <text>
        <r>
          <rPr>
            <sz val="11"/>
            <color theme="1"/>
            <rFont val="Calibri"/>
            <family val="2"/>
            <scheme val="minor"/>
          </rPr>
          <t>Introduzca un número con dos decimales como máximo</t>
        </r>
      </text>
    </comment>
    <comment ref="F5842" authorId="2">
      <text>
        <r>
          <rPr>
            <sz val="11"/>
            <color theme="1"/>
            <rFont val="Calibri"/>
            <family val="2"/>
            <scheme val="minor"/>
          </rPr>
          <t>Monto calculado automáticamente por el sistema</t>
        </r>
      </text>
    </comment>
    <comment ref="A5847" authorId="2">
      <text>
        <r>
          <rPr>
            <sz val="11"/>
            <color theme="1"/>
            <rFont val="Calibri"/>
            <family val="2"/>
            <scheme val="minor"/>
          </rPr>
          <t>Introducir un texto con el nombre o referencia de la contratación</t>
        </r>
      </text>
    </comment>
    <comment ref="B5847" authorId="2">
      <text>
        <r>
          <rPr>
            <sz val="11"/>
            <color theme="1"/>
            <rFont val="Calibri"/>
            <family val="2"/>
            <scheme val="minor"/>
          </rPr>
          <t>Introduzca un texto con la finalidad de la contratación</t>
        </r>
      </text>
    </comment>
    <comment ref="C5847" authorId="2">
      <text>
        <r>
          <rPr>
            <sz val="11"/>
            <color theme="1"/>
            <rFont val="Calibri"/>
            <family val="2"/>
            <scheme val="minor"/>
          </rPr>
          <t>Seleccionar un valor del listado</t>
        </r>
      </text>
    </comment>
    <comment ref="D5847" authorId="2">
      <text>
        <r>
          <rPr>
            <sz val="11"/>
            <color theme="1"/>
            <rFont val="Calibri"/>
            <family val="2"/>
            <scheme val="minor"/>
          </rPr>
          <t>Seleccione el tipo de procedimiento</t>
        </r>
      </text>
    </comment>
    <comment ref="E5847" authorId="2">
      <text>
        <r>
          <rPr>
            <sz val="11"/>
            <color theme="1"/>
            <rFont val="Calibri"/>
            <family val="2"/>
            <scheme val="minor"/>
          </rPr>
          <t>Seleccione un valor de la lista</t>
        </r>
      </text>
    </comment>
    <comment ref="F5847" authorId="2">
      <text>
        <r>
          <rPr>
            <sz val="11"/>
            <color theme="1"/>
            <rFont val="Calibri"/>
            <family val="2"/>
            <scheme val="minor"/>
          </rPr>
          <t>Introduzca el código SNIP</t>
        </r>
      </text>
    </comment>
    <comment ref="C5848" authorId="2">
      <text>
        <r>
          <rPr>
            <sz val="11"/>
            <color theme="1"/>
            <rFont val="Calibri"/>
            <family val="2"/>
            <scheme val="minor"/>
          </rPr>
          <t>Introduzca la fecha de inicio del proceso, en formato dd-mm-aaaa</t>
        </r>
      </text>
    </comment>
    <comment ref="F58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9" authorId="2">
      <text/>
    </comment>
    <comment ref="C5850" authorId="2">
      <text>
        <r>
          <rPr>
            <sz val="11"/>
            <color theme="1"/>
            <rFont val="Calibri"/>
            <family val="2"/>
            <scheme val="minor"/>
          </rPr>
          <t>Introduzca la fecha prevista de adjudicación, en formato dd-mm-aaaa</t>
        </r>
      </text>
    </comment>
    <comment ref="F5850" authorId="2">
      <text/>
    </comment>
    <comment ref="F5851" authorId="2">
      <text/>
    </comment>
    <comment ref="A5853" authorId="2">
      <text>
        <r>
          <rPr>
            <sz val="11"/>
            <color theme="1"/>
            <rFont val="Calibri"/>
            <family val="2"/>
            <scheme val="minor"/>
          </rPr>
          <t>Introduzca un codigo UNSPSC</t>
        </r>
      </text>
    </comment>
    <comment ref="B5853" authorId="2">
      <text>
        <r>
          <rPr>
            <sz val="11"/>
            <color theme="1"/>
            <rFont val="Calibri"/>
            <family val="2"/>
            <scheme val="minor"/>
          </rPr>
          <t>Descripción calculada automáticamente a partir de código del artículo</t>
        </r>
      </text>
    </comment>
    <comment ref="C5853" authorId="2">
      <text>
        <r>
          <rPr>
            <sz val="11"/>
            <color theme="1"/>
            <rFont val="Calibri"/>
            <family val="2"/>
            <scheme val="minor"/>
          </rPr>
          <t>Seleccione un valor de la lista</t>
        </r>
      </text>
    </comment>
    <comment ref="D5853" authorId="2">
      <text>
        <r>
          <rPr>
            <sz val="11"/>
            <color theme="1"/>
            <rFont val="Calibri"/>
            <family val="2"/>
            <scheme val="minor"/>
          </rPr>
          <t>Introduzca un número con dos decimales como máximo. Debe ser igual o mayor a la "Cantidad Real Consumida"</t>
        </r>
      </text>
    </comment>
    <comment ref="E5853" authorId="2">
      <text>
        <r>
          <rPr>
            <sz val="11"/>
            <color theme="1"/>
            <rFont val="Calibri"/>
            <family val="2"/>
            <scheme val="minor"/>
          </rPr>
          <t>Introduzca un número con dos decimales como máximo</t>
        </r>
      </text>
    </comment>
    <comment ref="F5853" authorId="2">
      <text>
        <r>
          <rPr>
            <sz val="11"/>
            <color theme="1"/>
            <rFont val="Calibri"/>
            <family val="2"/>
            <scheme val="minor"/>
          </rPr>
          <t>Monto calculado automáticamente por el sistema</t>
        </r>
      </text>
    </comment>
    <comment ref="A5858" authorId="2">
      <text>
        <r>
          <rPr>
            <sz val="11"/>
            <color theme="1"/>
            <rFont val="Calibri"/>
            <family val="2"/>
            <scheme val="minor"/>
          </rPr>
          <t>Introducir un texto con el nombre o referencia de la contratación</t>
        </r>
      </text>
    </comment>
    <comment ref="B5858" authorId="2">
      <text>
        <r>
          <rPr>
            <sz val="11"/>
            <color theme="1"/>
            <rFont val="Calibri"/>
            <family val="2"/>
            <scheme val="minor"/>
          </rPr>
          <t>Introduzca un texto con la finalidad de la contratación</t>
        </r>
      </text>
    </comment>
    <comment ref="C5858" authorId="2">
      <text>
        <r>
          <rPr>
            <sz val="11"/>
            <color theme="1"/>
            <rFont val="Calibri"/>
            <family val="2"/>
            <scheme val="minor"/>
          </rPr>
          <t>Seleccionar un valor del listado</t>
        </r>
      </text>
    </comment>
    <comment ref="D5858" authorId="2">
      <text>
        <r>
          <rPr>
            <sz val="11"/>
            <color theme="1"/>
            <rFont val="Calibri"/>
            <family val="2"/>
            <scheme val="minor"/>
          </rPr>
          <t>Seleccione el tipo de procedimiento</t>
        </r>
      </text>
    </comment>
    <comment ref="E5858" authorId="2">
      <text>
        <r>
          <rPr>
            <sz val="11"/>
            <color theme="1"/>
            <rFont val="Calibri"/>
            <family val="2"/>
            <scheme val="minor"/>
          </rPr>
          <t>Seleccione un valor de la lista</t>
        </r>
      </text>
    </comment>
    <comment ref="F5858" authorId="2">
      <text>
        <r>
          <rPr>
            <sz val="11"/>
            <color theme="1"/>
            <rFont val="Calibri"/>
            <family val="2"/>
            <scheme val="minor"/>
          </rPr>
          <t>Introduzca el código SNIP</t>
        </r>
      </text>
    </comment>
    <comment ref="C5859" authorId="2">
      <text>
        <r>
          <rPr>
            <sz val="11"/>
            <color theme="1"/>
            <rFont val="Calibri"/>
            <family val="2"/>
            <scheme val="minor"/>
          </rPr>
          <t>Introduzca la fecha de inicio del proceso, en formato dd-mm-aaaa</t>
        </r>
      </text>
    </comment>
    <comment ref="F58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0" authorId="2">
      <text/>
    </comment>
    <comment ref="C5861" authorId="2">
      <text>
        <r>
          <rPr>
            <sz val="11"/>
            <color theme="1"/>
            <rFont val="Calibri"/>
            <family val="2"/>
            <scheme val="minor"/>
          </rPr>
          <t>Introduzca la fecha prevista de adjudicación, en formato dd-mm-aaaa</t>
        </r>
      </text>
    </comment>
    <comment ref="F5861" authorId="2">
      <text/>
    </comment>
    <comment ref="F5862" authorId="2">
      <text/>
    </comment>
    <comment ref="A5864" authorId="2">
      <text>
        <r>
          <rPr>
            <sz val="11"/>
            <color theme="1"/>
            <rFont val="Calibri"/>
            <family val="2"/>
            <scheme val="minor"/>
          </rPr>
          <t>Introduzca un codigo UNSPSC</t>
        </r>
      </text>
    </comment>
    <comment ref="B5864" authorId="2">
      <text>
        <r>
          <rPr>
            <sz val="11"/>
            <color theme="1"/>
            <rFont val="Calibri"/>
            <family val="2"/>
            <scheme val="minor"/>
          </rPr>
          <t>Descripción calculada automáticamente a partir de código del artículo</t>
        </r>
      </text>
    </comment>
    <comment ref="C5864" authorId="2">
      <text>
        <r>
          <rPr>
            <sz val="11"/>
            <color theme="1"/>
            <rFont val="Calibri"/>
            <family val="2"/>
            <scheme val="minor"/>
          </rPr>
          <t>Seleccione un valor de la lista</t>
        </r>
      </text>
    </comment>
    <comment ref="D5864" authorId="2">
      <text>
        <r>
          <rPr>
            <sz val="11"/>
            <color theme="1"/>
            <rFont val="Calibri"/>
            <family val="2"/>
            <scheme val="minor"/>
          </rPr>
          <t>Introduzca un número con dos decimales como máximo. Debe ser igual o mayor a la "Cantidad Real Consumida"</t>
        </r>
      </text>
    </comment>
    <comment ref="E5864" authorId="2">
      <text>
        <r>
          <rPr>
            <sz val="11"/>
            <color theme="1"/>
            <rFont val="Calibri"/>
            <family val="2"/>
            <scheme val="minor"/>
          </rPr>
          <t>Introduzca un número con dos decimales como máximo</t>
        </r>
      </text>
    </comment>
    <comment ref="F5864" authorId="2">
      <text>
        <r>
          <rPr>
            <sz val="11"/>
            <color theme="1"/>
            <rFont val="Calibri"/>
            <family val="2"/>
            <scheme val="minor"/>
          </rPr>
          <t>Monto calculado automáticamente por el sistema</t>
        </r>
      </text>
    </comment>
    <comment ref="A5869" authorId="2">
      <text>
        <r>
          <rPr>
            <sz val="11"/>
            <color theme="1"/>
            <rFont val="Calibri"/>
            <family val="2"/>
            <scheme val="minor"/>
          </rPr>
          <t>Introducir un texto con el nombre o referencia de la contratación</t>
        </r>
      </text>
    </comment>
    <comment ref="B5869" authorId="2">
      <text>
        <r>
          <rPr>
            <sz val="11"/>
            <color theme="1"/>
            <rFont val="Calibri"/>
            <family val="2"/>
            <scheme val="minor"/>
          </rPr>
          <t>Introduzca un texto con la finalidad de la contratación</t>
        </r>
      </text>
    </comment>
    <comment ref="C5869" authorId="2">
      <text>
        <r>
          <rPr>
            <sz val="11"/>
            <color theme="1"/>
            <rFont val="Calibri"/>
            <family val="2"/>
            <scheme val="minor"/>
          </rPr>
          <t>Seleccionar un valor del listado</t>
        </r>
      </text>
    </comment>
    <comment ref="D5869" authorId="2">
      <text>
        <r>
          <rPr>
            <sz val="11"/>
            <color theme="1"/>
            <rFont val="Calibri"/>
            <family val="2"/>
            <scheme val="minor"/>
          </rPr>
          <t>Seleccione el tipo de procedimiento</t>
        </r>
      </text>
    </comment>
    <comment ref="E5869" authorId="2">
      <text>
        <r>
          <rPr>
            <sz val="11"/>
            <color theme="1"/>
            <rFont val="Calibri"/>
            <family val="2"/>
            <scheme val="minor"/>
          </rPr>
          <t>Seleccione un valor de la lista</t>
        </r>
      </text>
    </comment>
    <comment ref="F5869" authorId="2">
      <text>
        <r>
          <rPr>
            <sz val="11"/>
            <color theme="1"/>
            <rFont val="Calibri"/>
            <family val="2"/>
            <scheme val="minor"/>
          </rPr>
          <t>Introduzca el código SNIP</t>
        </r>
      </text>
    </comment>
    <comment ref="C5870" authorId="2">
      <text>
        <r>
          <rPr>
            <sz val="11"/>
            <color theme="1"/>
            <rFont val="Calibri"/>
            <family val="2"/>
            <scheme val="minor"/>
          </rPr>
          <t>Introduzca la fecha de inicio del proceso, en formato dd-mm-aaaa</t>
        </r>
      </text>
    </comment>
    <comment ref="F58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1" authorId="2">
      <text/>
    </comment>
    <comment ref="C5872" authorId="2">
      <text>
        <r>
          <rPr>
            <sz val="11"/>
            <color theme="1"/>
            <rFont val="Calibri"/>
            <family val="2"/>
            <scheme val="minor"/>
          </rPr>
          <t>Introduzca la fecha prevista de adjudicación, en formato dd-mm-aaaa</t>
        </r>
      </text>
    </comment>
    <comment ref="F5872" authorId="2">
      <text/>
    </comment>
    <comment ref="F5873" authorId="2">
      <text/>
    </comment>
    <comment ref="A5875" authorId="2">
      <text>
        <r>
          <rPr>
            <sz val="11"/>
            <color theme="1"/>
            <rFont val="Calibri"/>
            <family val="2"/>
            <scheme val="minor"/>
          </rPr>
          <t>Introduzca un codigo UNSPSC</t>
        </r>
      </text>
    </comment>
    <comment ref="B5875" authorId="2">
      <text>
        <r>
          <rPr>
            <sz val="11"/>
            <color theme="1"/>
            <rFont val="Calibri"/>
            <family val="2"/>
            <scheme val="minor"/>
          </rPr>
          <t>Descripción calculada automáticamente a partir de código del artículo</t>
        </r>
      </text>
    </comment>
    <comment ref="C5875" authorId="2">
      <text>
        <r>
          <rPr>
            <sz val="11"/>
            <color theme="1"/>
            <rFont val="Calibri"/>
            <family val="2"/>
            <scheme val="minor"/>
          </rPr>
          <t>Seleccione un valor de la lista</t>
        </r>
      </text>
    </comment>
    <comment ref="D5875" authorId="2">
      <text>
        <r>
          <rPr>
            <sz val="11"/>
            <color theme="1"/>
            <rFont val="Calibri"/>
            <family val="2"/>
            <scheme val="minor"/>
          </rPr>
          <t>Introduzca un número con dos decimales como máximo. Debe ser igual o mayor a la "Cantidad Real Consumida"</t>
        </r>
      </text>
    </comment>
    <comment ref="E5875" authorId="2">
      <text>
        <r>
          <rPr>
            <sz val="11"/>
            <color theme="1"/>
            <rFont val="Calibri"/>
            <family val="2"/>
            <scheme val="minor"/>
          </rPr>
          <t>Introduzca un número con dos decimales como máximo</t>
        </r>
      </text>
    </comment>
    <comment ref="F5875" authorId="2">
      <text>
        <r>
          <rPr>
            <sz val="11"/>
            <color theme="1"/>
            <rFont val="Calibri"/>
            <family val="2"/>
            <scheme val="minor"/>
          </rPr>
          <t>Monto calculado automáticamente por el sistema</t>
        </r>
      </text>
    </comment>
    <comment ref="A5880" authorId="2">
      <text>
        <r>
          <rPr>
            <sz val="11"/>
            <color theme="1"/>
            <rFont val="Calibri"/>
            <family val="2"/>
            <scheme val="minor"/>
          </rPr>
          <t>Introducir un texto con el nombre o referencia de la contratación</t>
        </r>
      </text>
    </comment>
    <comment ref="B5880" authorId="2">
      <text>
        <r>
          <rPr>
            <sz val="11"/>
            <color theme="1"/>
            <rFont val="Calibri"/>
            <family val="2"/>
            <scheme val="minor"/>
          </rPr>
          <t>Introduzca un texto con la finalidad de la contratación</t>
        </r>
      </text>
    </comment>
    <comment ref="C5880" authorId="2">
      <text>
        <r>
          <rPr>
            <sz val="11"/>
            <color theme="1"/>
            <rFont val="Calibri"/>
            <family val="2"/>
            <scheme val="minor"/>
          </rPr>
          <t>Seleccionar un valor del listado</t>
        </r>
      </text>
    </comment>
    <comment ref="D5880" authorId="2">
      <text>
        <r>
          <rPr>
            <sz val="11"/>
            <color theme="1"/>
            <rFont val="Calibri"/>
            <family val="2"/>
            <scheme val="minor"/>
          </rPr>
          <t>Seleccione el tipo de procedimiento</t>
        </r>
      </text>
    </comment>
    <comment ref="E5880" authorId="2">
      <text>
        <r>
          <rPr>
            <sz val="11"/>
            <color theme="1"/>
            <rFont val="Calibri"/>
            <family val="2"/>
            <scheme val="minor"/>
          </rPr>
          <t>Seleccione un valor de la lista</t>
        </r>
      </text>
    </comment>
    <comment ref="F5880" authorId="2">
      <text>
        <r>
          <rPr>
            <sz val="11"/>
            <color theme="1"/>
            <rFont val="Calibri"/>
            <family val="2"/>
            <scheme val="minor"/>
          </rPr>
          <t>Introduzca el código SNIP</t>
        </r>
      </text>
    </comment>
    <comment ref="C5881" authorId="2">
      <text>
        <r>
          <rPr>
            <sz val="11"/>
            <color theme="1"/>
            <rFont val="Calibri"/>
            <family val="2"/>
            <scheme val="minor"/>
          </rPr>
          <t>Introduzca la fecha de inicio del proceso, en formato dd-mm-aaaa</t>
        </r>
      </text>
    </comment>
    <comment ref="F58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2" authorId="2">
      <text/>
    </comment>
    <comment ref="C5883" authorId="2">
      <text>
        <r>
          <rPr>
            <sz val="11"/>
            <color theme="1"/>
            <rFont val="Calibri"/>
            <family val="2"/>
            <scheme val="minor"/>
          </rPr>
          <t>Introduzca la fecha prevista de adjudicación, en formato dd-mm-aaaa</t>
        </r>
      </text>
    </comment>
    <comment ref="F5883" authorId="2">
      <text/>
    </comment>
    <comment ref="F5884" authorId="2">
      <text/>
    </comment>
    <comment ref="A5886" authorId="2">
      <text>
        <r>
          <rPr>
            <sz val="11"/>
            <color theme="1"/>
            <rFont val="Calibri"/>
            <family val="2"/>
            <scheme val="minor"/>
          </rPr>
          <t>Introduzca un codigo UNSPSC</t>
        </r>
      </text>
    </comment>
    <comment ref="B5886" authorId="2">
      <text>
        <r>
          <rPr>
            <sz val="11"/>
            <color theme="1"/>
            <rFont val="Calibri"/>
            <family val="2"/>
            <scheme val="minor"/>
          </rPr>
          <t>Descripción calculada automáticamente a partir de código del artículo</t>
        </r>
      </text>
    </comment>
    <comment ref="C5886" authorId="2">
      <text>
        <r>
          <rPr>
            <sz val="11"/>
            <color theme="1"/>
            <rFont val="Calibri"/>
            <family val="2"/>
            <scheme val="minor"/>
          </rPr>
          <t>Seleccione un valor de la lista</t>
        </r>
      </text>
    </comment>
    <comment ref="D5886" authorId="2">
      <text>
        <r>
          <rPr>
            <sz val="11"/>
            <color theme="1"/>
            <rFont val="Calibri"/>
            <family val="2"/>
            <scheme val="minor"/>
          </rPr>
          <t>Introduzca un número con dos decimales como máximo. Debe ser igual o mayor a la "Cantidad Real Consumida"</t>
        </r>
      </text>
    </comment>
    <comment ref="E5886" authorId="2">
      <text>
        <r>
          <rPr>
            <sz val="11"/>
            <color theme="1"/>
            <rFont val="Calibri"/>
            <family val="2"/>
            <scheme val="minor"/>
          </rPr>
          <t>Introduzca un número con dos decimales como máximo</t>
        </r>
      </text>
    </comment>
    <comment ref="F5886" authorId="2">
      <text>
        <r>
          <rPr>
            <sz val="11"/>
            <color theme="1"/>
            <rFont val="Calibri"/>
            <family val="2"/>
            <scheme val="minor"/>
          </rPr>
          <t>Monto calculado automáticamente por el sistema</t>
        </r>
      </text>
    </comment>
    <comment ref="A5891" authorId="2">
      <text>
        <r>
          <rPr>
            <sz val="11"/>
            <color theme="1"/>
            <rFont val="Calibri"/>
            <family val="2"/>
            <scheme val="minor"/>
          </rPr>
          <t>Introducir un texto con el nombre o referencia de la contratación</t>
        </r>
      </text>
    </comment>
    <comment ref="B5891" authorId="2">
      <text>
        <r>
          <rPr>
            <sz val="11"/>
            <color theme="1"/>
            <rFont val="Calibri"/>
            <family val="2"/>
            <scheme val="minor"/>
          </rPr>
          <t>Introduzca un texto con la finalidad de la contratación</t>
        </r>
      </text>
    </comment>
    <comment ref="C5891" authorId="2">
      <text>
        <r>
          <rPr>
            <sz val="11"/>
            <color theme="1"/>
            <rFont val="Calibri"/>
            <family val="2"/>
            <scheme val="minor"/>
          </rPr>
          <t>Seleccionar un valor del listado</t>
        </r>
      </text>
    </comment>
    <comment ref="D5891" authorId="2">
      <text>
        <r>
          <rPr>
            <sz val="11"/>
            <color theme="1"/>
            <rFont val="Calibri"/>
            <family val="2"/>
            <scheme val="minor"/>
          </rPr>
          <t>Seleccione el tipo de procedimiento</t>
        </r>
      </text>
    </comment>
    <comment ref="E5891" authorId="2">
      <text>
        <r>
          <rPr>
            <sz val="11"/>
            <color theme="1"/>
            <rFont val="Calibri"/>
            <family val="2"/>
            <scheme val="minor"/>
          </rPr>
          <t>Seleccione un valor de la lista</t>
        </r>
      </text>
    </comment>
    <comment ref="F5891" authorId="2">
      <text>
        <r>
          <rPr>
            <sz val="11"/>
            <color theme="1"/>
            <rFont val="Calibri"/>
            <family val="2"/>
            <scheme val="minor"/>
          </rPr>
          <t>Introduzca el código SNIP</t>
        </r>
      </text>
    </comment>
    <comment ref="C5892" authorId="2">
      <text>
        <r>
          <rPr>
            <sz val="11"/>
            <color theme="1"/>
            <rFont val="Calibri"/>
            <family val="2"/>
            <scheme val="minor"/>
          </rPr>
          <t>Introduzca la fecha de inicio del proceso, en formato dd-mm-aaaa</t>
        </r>
      </text>
    </comment>
    <comment ref="F58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3" authorId="2">
      <text/>
    </comment>
    <comment ref="C5894" authorId="2">
      <text>
        <r>
          <rPr>
            <sz val="11"/>
            <color theme="1"/>
            <rFont val="Calibri"/>
            <family val="2"/>
            <scheme val="minor"/>
          </rPr>
          <t>Introduzca la fecha prevista de adjudicación, en formato dd-mm-aaaa</t>
        </r>
      </text>
    </comment>
    <comment ref="F5894" authorId="2">
      <text/>
    </comment>
    <comment ref="F5895" authorId="2">
      <text/>
    </comment>
    <comment ref="A5897" authorId="2">
      <text>
        <r>
          <rPr>
            <sz val="11"/>
            <color theme="1"/>
            <rFont val="Calibri"/>
            <family val="2"/>
            <scheme val="minor"/>
          </rPr>
          <t>Introduzca un codigo UNSPSC</t>
        </r>
      </text>
    </comment>
    <comment ref="B5897" authorId="2">
      <text>
        <r>
          <rPr>
            <sz val="11"/>
            <color theme="1"/>
            <rFont val="Calibri"/>
            <family val="2"/>
            <scheme val="minor"/>
          </rPr>
          <t>Descripción calculada automáticamente a partir de código del artículo</t>
        </r>
      </text>
    </comment>
    <comment ref="C5897" authorId="2">
      <text>
        <r>
          <rPr>
            <sz val="11"/>
            <color theme="1"/>
            <rFont val="Calibri"/>
            <family val="2"/>
            <scheme val="minor"/>
          </rPr>
          <t>Seleccione un valor de la lista</t>
        </r>
      </text>
    </comment>
    <comment ref="D5897" authorId="2">
      <text>
        <r>
          <rPr>
            <sz val="11"/>
            <color theme="1"/>
            <rFont val="Calibri"/>
            <family val="2"/>
            <scheme val="minor"/>
          </rPr>
          <t>Introduzca un número con dos decimales como máximo. Debe ser igual o mayor a la "Cantidad Real Consumida"</t>
        </r>
      </text>
    </comment>
    <comment ref="E5897" authorId="2">
      <text>
        <r>
          <rPr>
            <sz val="11"/>
            <color theme="1"/>
            <rFont val="Calibri"/>
            <family val="2"/>
            <scheme val="minor"/>
          </rPr>
          <t>Introduzca un número con dos decimales como máximo</t>
        </r>
      </text>
    </comment>
    <comment ref="F5897" authorId="2">
      <text>
        <r>
          <rPr>
            <sz val="11"/>
            <color theme="1"/>
            <rFont val="Calibri"/>
            <family val="2"/>
            <scheme val="minor"/>
          </rPr>
          <t>Monto calculado automáticamente por el sistema</t>
        </r>
      </text>
    </comment>
    <comment ref="A5903" authorId="2">
      <text>
        <r>
          <rPr>
            <sz val="11"/>
            <color theme="1"/>
            <rFont val="Calibri"/>
            <family val="2"/>
            <scheme val="minor"/>
          </rPr>
          <t>Introducir un texto con el nombre o referencia de la contratación</t>
        </r>
      </text>
    </comment>
    <comment ref="B5903" authorId="2">
      <text>
        <r>
          <rPr>
            <sz val="11"/>
            <color theme="1"/>
            <rFont val="Calibri"/>
            <family val="2"/>
            <scheme val="minor"/>
          </rPr>
          <t>Introduzca un texto con la finalidad de la contratación</t>
        </r>
      </text>
    </comment>
    <comment ref="C5903" authorId="2">
      <text>
        <r>
          <rPr>
            <sz val="11"/>
            <color theme="1"/>
            <rFont val="Calibri"/>
            <family val="2"/>
            <scheme val="minor"/>
          </rPr>
          <t>Seleccionar un valor del listado</t>
        </r>
      </text>
    </comment>
    <comment ref="D5903" authorId="2">
      <text>
        <r>
          <rPr>
            <sz val="11"/>
            <color theme="1"/>
            <rFont val="Calibri"/>
            <family val="2"/>
            <scheme val="minor"/>
          </rPr>
          <t>Seleccione el tipo de procedimiento</t>
        </r>
      </text>
    </comment>
    <comment ref="E5903" authorId="2">
      <text>
        <r>
          <rPr>
            <sz val="11"/>
            <color theme="1"/>
            <rFont val="Calibri"/>
            <family val="2"/>
            <scheme val="minor"/>
          </rPr>
          <t>Seleccione un valor de la lista</t>
        </r>
      </text>
    </comment>
    <comment ref="F5903" authorId="2">
      <text>
        <r>
          <rPr>
            <sz val="11"/>
            <color theme="1"/>
            <rFont val="Calibri"/>
            <family val="2"/>
            <scheme val="minor"/>
          </rPr>
          <t>Introduzca el código SNIP</t>
        </r>
      </text>
    </comment>
    <comment ref="C5904" authorId="2">
      <text>
        <r>
          <rPr>
            <sz val="11"/>
            <color theme="1"/>
            <rFont val="Calibri"/>
            <family val="2"/>
            <scheme val="minor"/>
          </rPr>
          <t>Introduzca la fecha de inicio del proceso, en formato dd-mm-aaaa</t>
        </r>
      </text>
    </comment>
    <comment ref="F59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5" authorId="2">
      <text/>
    </comment>
    <comment ref="C5906" authorId="2">
      <text>
        <r>
          <rPr>
            <sz val="11"/>
            <color theme="1"/>
            <rFont val="Calibri"/>
            <family val="2"/>
            <scheme val="minor"/>
          </rPr>
          <t>Introduzca la fecha prevista de adjudicación, en formato dd-mm-aaaa</t>
        </r>
      </text>
    </comment>
    <comment ref="F5906" authorId="2">
      <text/>
    </comment>
    <comment ref="F5907" authorId="2">
      <text/>
    </comment>
    <comment ref="A5909" authorId="2">
      <text>
        <r>
          <rPr>
            <sz val="11"/>
            <color theme="1"/>
            <rFont val="Calibri"/>
            <family val="2"/>
            <scheme val="minor"/>
          </rPr>
          <t>Introduzca un codigo UNSPSC</t>
        </r>
      </text>
    </comment>
    <comment ref="B5909" authorId="2">
      <text>
        <r>
          <rPr>
            <sz val="11"/>
            <color theme="1"/>
            <rFont val="Calibri"/>
            <family val="2"/>
            <scheme val="minor"/>
          </rPr>
          <t>Descripción calculada automáticamente a partir de código del artículo</t>
        </r>
      </text>
    </comment>
    <comment ref="C5909" authorId="2">
      <text>
        <r>
          <rPr>
            <sz val="11"/>
            <color theme="1"/>
            <rFont val="Calibri"/>
            <family val="2"/>
            <scheme val="minor"/>
          </rPr>
          <t>Seleccione un valor de la lista</t>
        </r>
      </text>
    </comment>
    <comment ref="D5909" authorId="2">
      <text>
        <r>
          <rPr>
            <sz val="11"/>
            <color theme="1"/>
            <rFont val="Calibri"/>
            <family val="2"/>
            <scheme val="minor"/>
          </rPr>
          <t>Introduzca un número con dos decimales como máximo. Debe ser igual o mayor a la "Cantidad Real Consumida"</t>
        </r>
      </text>
    </comment>
    <comment ref="E5909" authorId="2">
      <text>
        <r>
          <rPr>
            <sz val="11"/>
            <color theme="1"/>
            <rFont val="Calibri"/>
            <family val="2"/>
            <scheme val="minor"/>
          </rPr>
          <t>Introduzca un número con dos decimales como máximo</t>
        </r>
      </text>
    </comment>
    <comment ref="F5909" authorId="2">
      <text>
        <r>
          <rPr>
            <sz val="11"/>
            <color theme="1"/>
            <rFont val="Calibri"/>
            <family val="2"/>
            <scheme val="minor"/>
          </rPr>
          <t>Monto calculado automáticamente por el sistema</t>
        </r>
      </text>
    </comment>
    <comment ref="A5914" authorId="2">
      <text>
        <r>
          <rPr>
            <sz val="11"/>
            <color theme="1"/>
            <rFont val="Calibri"/>
            <family val="2"/>
            <scheme val="minor"/>
          </rPr>
          <t>Introducir un texto con el nombre o referencia de la contratación</t>
        </r>
      </text>
    </comment>
    <comment ref="B5914" authorId="2">
      <text>
        <r>
          <rPr>
            <sz val="11"/>
            <color theme="1"/>
            <rFont val="Calibri"/>
            <family val="2"/>
            <scheme val="minor"/>
          </rPr>
          <t>Introduzca un texto con la finalidad de la contratación</t>
        </r>
      </text>
    </comment>
    <comment ref="C5914" authorId="2">
      <text>
        <r>
          <rPr>
            <sz val="11"/>
            <color theme="1"/>
            <rFont val="Calibri"/>
            <family val="2"/>
            <scheme val="minor"/>
          </rPr>
          <t>Seleccionar un valor del listado</t>
        </r>
      </text>
    </comment>
    <comment ref="D5914" authorId="2">
      <text>
        <r>
          <rPr>
            <sz val="11"/>
            <color theme="1"/>
            <rFont val="Calibri"/>
            <family val="2"/>
            <scheme val="minor"/>
          </rPr>
          <t>Seleccione el tipo de procedimiento</t>
        </r>
      </text>
    </comment>
    <comment ref="E5914" authorId="2">
      <text>
        <r>
          <rPr>
            <sz val="11"/>
            <color theme="1"/>
            <rFont val="Calibri"/>
            <family val="2"/>
            <scheme val="minor"/>
          </rPr>
          <t>Seleccione un valor de la lista</t>
        </r>
      </text>
    </comment>
    <comment ref="F5914" authorId="2">
      <text>
        <r>
          <rPr>
            <sz val="11"/>
            <color theme="1"/>
            <rFont val="Calibri"/>
            <family val="2"/>
            <scheme val="minor"/>
          </rPr>
          <t>Introduzca el código SNIP</t>
        </r>
      </text>
    </comment>
    <comment ref="C5915" authorId="2">
      <text>
        <r>
          <rPr>
            <sz val="11"/>
            <color theme="1"/>
            <rFont val="Calibri"/>
            <family val="2"/>
            <scheme val="minor"/>
          </rPr>
          <t>Introduzca la fecha de inicio del proceso, en formato dd-mm-aaaa</t>
        </r>
      </text>
    </comment>
    <comment ref="F59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6" authorId="2">
      <text/>
    </comment>
    <comment ref="C5917" authorId="2">
      <text>
        <r>
          <rPr>
            <sz val="11"/>
            <color theme="1"/>
            <rFont val="Calibri"/>
            <family val="2"/>
            <scheme val="minor"/>
          </rPr>
          <t>Introduzca la fecha prevista de adjudicación, en formato dd-mm-aaaa</t>
        </r>
      </text>
    </comment>
    <comment ref="F5917" authorId="2">
      <text/>
    </comment>
    <comment ref="F5918" authorId="2">
      <text/>
    </comment>
    <comment ref="A5920" authorId="2">
      <text>
        <r>
          <rPr>
            <sz val="11"/>
            <color theme="1"/>
            <rFont val="Calibri"/>
            <family val="2"/>
            <scheme val="minor"/>
          </rPr>
          <t>Introduzca un codigo UNSPSC</t>
        </r>
      </text>
    </comment>
    <comment ref="B5920" authorId="2">
      <text>
        <r>
          <rPr>
            <sz val="11"/>
            <color theme="1"/>
            <rFont val="Calibri"/>
            <family val="2"/>
            <scheme val="minor"/>
          </rPr>
          <t>Descripción calculada automáticamente a partir de código del artículo</t>
        </r>
      </text>
    </comment>
    <comment ref="C5920" authorId="2">
      <text>
        <r>
          <rPr>
            <sz val="11"/>
            <color theme="1"/>
            <rFont val="Calibri"/>
            <family val="2"/>
            <scheme val="minor"/>
          </rPr>
          <t>Seleccione un valor de la lista</t>
        </r>
      </text>
    </comment>
    <comment ref="D5920" authorId="2">
      <text>
        <r>
          <rPr>
            <sz val="11"/>
            <color theme="1"/>
            <rFont val="Calibri"/>
            <family val="2"/>
            <scheme val="minor"/>
          </rPr>
          <t>Introduzca un número con dos decimales como máximo. Debe ser igual o mayor a la "Cantidad Real Consumida"</t>
        </r>
      </text>
    </comment>
    <comment ref="E5920" authorId="2">
      <text>
        <r>
          <rPr>
            <sz val="11"/>
            <color theme="1"/>
            <rFont val="Calibri"/>
            <family val="2"/>
            <scheme val="minor"/>
          </rPr>
          <t>Introduzca un número con dos decimales como máximo</t>
        </r>
      </text>
    </comment>
    <comment ref="F5920" authorId="2">
      <text>
        <r>
          <rPr>
            <sz val="11"/>
            <color theme="1"/>
            <rFont val="Calibri"/>
            <family val="2"/>
            <scheme val="minor"/>
          </rPr>
          <t>Monto calculado automáticamente por el sistema</t>
        </r>
      </text>
    </comment>
    <comment ref="A5925" authorId="2">
      <text>
        <r>
          <rPr>
            <sz val="11"/>
            <color theme="1"/>
            <rFont val="Calibri"/>
            <family val="2"/>
            <scheme val="minor"/>
          </rPr>
          <t>Introducir un texto con el nombre o referencia de la contratación</t>
        </r>
      </text>
    </comment>
    <comment ref="B5925" authorId="2">
      <text>
        <r>
          <rPr>
            <sz val="11"/>
            <color theme="1"/>
            <rFont val="Calibri"/>
            <family val="2"/>
            <scheme val="minor"/>
          </rPr>
          <t>Introduzca un texto con la finalidad de la contratación</t>
        </r>
      </text>
    </comment>
    <comment ref="C5925" authorId="2">
      <text>
        <r>
          <rPr>
            <sz val="11"/>
            <color theme="1"/>
            <rFont val="Calibri"/>
            <family val="2"/>
            <scheme val="minor"/>
          </rPr>
          <t>Seleccionar un valor del listado</t>
        </r>
      </text>
    </comment>
    <comment ref="D5925" authorId="2">
      <text>
        <r>
          <rPr>
            <sz val="11"/>
            <color theme="1"/>
            <rFont val="Calibri"/>
            <family val="2"/>
            <scheme val="minor"/>
          </rPr>
          <t>Seleccione el tipo de procedimiento</t>
        </r>
      </text>
    </comment>
    <comment ref="E5925" authorId="2">
      <text>
        <r>
          <rPr>
            <sz val="11"/>
            <color theme="1"/>
            <rFont val="Calibri"/>
            <family val="2"/>
            <scheme val="minor"/>
          </rPr>
          <t>Seleccione un valor de la lista</t>
        </r>
      </text>
    </comment>
    <comment ref="F5925" authorId="2">
      <text>
        <r>
          <rPr>
            <sz val="11"/>
            <color theme="1"/>
            <rFont val="Calibri"/>
            <family val="2"/>
            <scheme val="minor"/>
          </rPr>
          <t>Introduzca el código SNIP</t>
        </r>
      </text>
    </comment>
    <comment ref="C5926" authorId="2">
      <text>
        <r>
          <rPr>
            <sz val="11"/>
            <color theme="1"/>
            <rFont val="Calibri"/>
            <family val="2"/>
            <scheme val="minor"/>
          </rPr>
          <t>Introduzca la fecha de inicio del proceso, en formato dd-mm-aaaa</t>
        </r>
      </text>
    </comment>
    <comment ref="F59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7" authorId="2">
      <text/>
    </comment>
    <comment ref="C5928" authorId="2">
      <text>
        <r>
          <rPr>
            <sz val="11"/>
            <color theme="1"/>
            <rFont val="Calibri"/>
            <family val="2"/>
            <scheme val="minor"/>
          </rPr>
          <t>Introduzca la fecha prevista de adjudicación, en formato dd-mm-aaaa</t>
        </r>
      </text>
    </comment>
    <comment ref="F5928" authorId="2">
      <text/>
    </comment>
    <comment ref="F5929" authorId="2">
      <text/>
    </comment>
    <comment ref="A5931" authorId="2">
      <text>
        <r>
          <rPr>
            <sz val="11"/>
            <color theme="1"/>
            <rFont val="Calibri"/>
            <family val="2"/>
            <scheme val="minor"/>
          </rPr>
          <t>Introduzca un codigo UNSPSC</t>
        </r>
      </text>
    </comment>
    <comment ref="B5931" authorId="2">
      <text>
        <r>
          <rPr>
            <sz val="11"/>
            <color theme="1"/>
            <rFont val="Calibri"/>
            <family val="2"/>
            <scheme val="minor"/>
          </rPr>
          <t>Descripción calculada automáticamente a partir de código del artículo</t>
        </r>
      </text>
    </comment>
    <comment ref="C5931" authorId="2">
      <text>
        <r>
          <rPr>
            <sz val="11"/>
            <color theme="1"/>
            <rFont val="Calibri"/>
            <family val="2"/>
            <scheme val="minor"/>
          </rPr>
          <t>Seleccione un valor de la lista</t>
        </r>
      </text>
    </comment>
    <comment ref="D5931" authorId="2">
      <text>
        <r>
          <rPr>
            <sz val="11"/>
            <color theme="1"/>
            <rFont val="Calibri"/>
            <family val="2"/>
            <scheme val="minor"/>
          </rPr>
          <t>Introduzca un número con dos decimales como máximo. Debe ser igual o mayor a la "Cantidad Real Consumida"</t>
        </r>
      </text>
    </comment>
    <comment ref="E5931" authorId="2">
      <text>
        <r>
          <rPr>
            <sz val="11"/>
            <color theme="1"/>
            <rFont val="Calibri"/>
            <family val="2"/>
            <scheme val="minor"/>
          </rPr>
          <t>Introduzca un número con dos decimales como máximo</t>
        </r>
      </text>
    </comment>
    <comment ref="F5931" authorId="2">
      <text>
        <r>
          <rPr>
            <sz val="11"/>
            <color theme="1"/>
            <rFont val="Calibri"/>
            <family val="2"/>
            <scheme val="minor"/>
          </rPr>
          <t>Monto calculado automáticamente por el sistema</t>
        </r>
      </text>
    </comment>
    <comment ref="A5936" authorId="2">
      <text>
        <r>
          <rPr>
            <sz val="11"/>
            <color theme="1"/>
            <rFont val="Calibri"/>
            <family val="2"/>
            <scheme val="minor"/>
          </rPr>
          <t>Introducir un texto con el nombre o referencia de la contratación</t>
        </r>
      </text>
    </comment>
    <comment ref="B5936" authorId="2">
      <text>
        <r>
          <rPr>
            <sz val="11"/>
            <color theme="1"/>
            <rFont val="Calibri"/>
            <family val="2"/>
            <scheme val="minor"/>
          </rPr>
          <t>Introduzca un texto con la finalidad de la contratación</t>
        </r>
      </text>
    </comment>
    <comment ref="C5936" authorId="2">
      <text>
        <r>
          <rPr>
            <sz val="11"/>
            <color theme="1"/>
            <rFont val="Calibri"/>
            <family val="2"/>
            <scheme val="minor"/>
          </rPr>
          <t>Seleccionar un valor del listado</t>
        </r>
      </text>
    </comment>
    <comment ref="D5936" authorId="2">
      <text>
        <r>
          <rPr>
            <sz val="11"/>
            <color theme="1"/>
            <rFont val="Calibri"/>
            <family val="2"/>
            <scheme val="minor"/>
          </rPr>
          <t>Seleccione el tipo de procedimiento</t>
        </r>
      </text>
    </comment>
    <comment ref="E5936" authorId="2">
      <text>
        <r>
          <rPr>
            <sz val="11"/>
            <color theme="1"/>
            <rFont val="Calibri"/>
            <family val="2"/>
            <scheme val="minor"/>
          </rPr>
          <t>Seleccione un valor de la lista</t>
        </r>
      </text>
    </comment>
    <comment ref="F5936" authorId="2">
      <text>
        <r>
          <rPr>
            <sz val="11"/>
            <color theme="1"/>
            <rFont val="Calibri"/>
            <family val="2"/>
            <scheme val="minor"/>
          </rPr>
          <t>Introduzca el código SNIP</t>
        </r>
      </text>
    </comment>
    <comment ref="C5937" authorId="2">
      <text>
        <r>
          <rPr>
            <sz val="11"/>
            <color theme="1"/>
            <rFont val="Calibri"/>
            <family val="2"/>
            <scheme val="minor"/>
          </rPr>
          <t>Introduzca la fecha de inicio del proceso, en formato dd-mm-aaaa</t>
        </r>
      </text>
    </comment>
    <comment ref="F59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8" authorId="2">
      <text/>
    </comment>
    <comment ref="C5939" authorId="2">
      <text>
        <r>
          <rPr>
            <sz val="11"/>
            <color theme="1"/>
            <rFont val="Calibri"/>
            <family val="2"/>
            <scheme val="minor"/>
          </rPr>
          <t>Introduzca la fecha prevista de adjudicación, en formato dd-mm-aaaa</t>
        </r>
      </text>
    </comment>
    <comment ref="F5939" authorId="2">
      <text/>
    </comment>
    <comment ref="F5940" authorId="2">
      <text/>
    </comment>
    <comment ref="A5942" authorId="2">
      <text>
        <r>
          <rPr>
            <sz val="11"/>
            <color theme="1"/>
            <rFont val="Calibri"/>
            <family val="2"/>
            <scheme val="minor"/>
          </rPr>
          <t>Introduzca un codigo UNSPSC</t>
        </r>
      </text>
    </comment>
    <comment ref="B5942" authorId="2">
      <text>
        <r>
          <rPr>
            <sz val="11"/>
            <color theme="1"/>
            <rFont val="Calibri"/>
            <family val="2"/>
            <scheme val="minor"/>
          </rPr>
          <t>Descripción calculada automáticamente a partir de código del artículo</t>
        </r>
      </text>
    </comment>
    <comment ref="C5942" authorId="2">
      <text>
        <r>
          <rPr>
            <sz val="11"/>
            <color theme="1"/>
            <rFont val="Calibri"/>
            <family val="2"/>
            <scheme val="minor"/>
          </rPr>
          <t>Seleccione un valor de la lista</t>
        </r>
      </text>
    </comment>
    <comment ref="D5942" authorId="2">
      <text>
        <r>
          <rPr>
            <sz val="11"/>
            <color theme="1"/>
            <rFont val="Calibri"/>
            <family val="2"/>
            <scheme val="minor"/>
          </rPr>
          <t>Introduzca un número con dos decimales como máximo. Debe ser igual o mayor a la "Cantidad Real Consumida"</t>
        </r>
      </text>
    </comment>
    <comment ref="E5942" authorId="2">
      <text>
        <r>
          <rPr>
            <sz val="11"/>
            <color theme="1"/>
            <rFont val="Calibri"/>
            <family val="2"/>
            <scheme val="minor"/>
          </rPr>
          <t>Introduzca un número con dos decimales como máximo</t>
        </r>
      </text>
    </comment>
    <comment ref="F5942" authorId="2">
      <text>
        <r>
          <rPr>
            <sz val="11"/>
            <color theme="1"/>
            <rFont val="Calibri"/>
            <family val="2"/>
            <scheme val="minor"/>
          </rPr>
          <t>Monto calculado automáticamente por el sistema</t>
        </r>
      </text>
    </comment>
    <comment ref="A5947" authorId="2">
      <text>
        <r>
          <rPr>
            <sz val="11"/>
            <color theme="1"/>
            <rFont val="Calibri"/>
            <family val="2"/>
            <scheme val="minor"/>
          </rPr>
          <t>Introducir un texto con el nombre o referencia de la contratación</t>
        </r>
      </text>
    </comment>
    <comment ref="B5947" authorId="2">
      <text>
        <r>
          <rPr>
            <sz val="11"/>
            <color theme="1"/>
            <rFont val="Calibri"/>
            <family val="2"/>
            <scheme val="minor"/>
          </rPr>
          <t>Introduzca un texto con la finalidad de la contratación</t>
        </r>
      </text>
    </comment>
    <comment ref="C5947" authorId="2">
      <text>
        <r>
          <rPr>
            <sz val="11"/>
            <color theme="1"/>
            <rFont val="Calibri"/>
            <family val="2"/>
            <scheme val="minor"/>
          </rPr>
          <t>Seleccionar un valor del listado</t>
        </r>
      </text>
    </comment>
    <comment ref="D5947" authorId="2">
      <text>
        <r>
          <rPr>
            <sz val="11"/>
            <color theme="1"/>
            <rFont val="Calibri"/>
            <family val="2"/>
            <scheme val="minor"/>
          </rPr>
          <t>Seleccione el tipo de procedimiento</t>
        </r>
      </text>
    </comment>
    <comment ref="E5947" authorId="2">
      <text>
        <r>
          <rPr>
            <sz val="11"/>
            <color theme="1"/>
            <rFont val="Calibri"/>
            <family val="2"/>
            <scheme val="minor"/>
          </rPr>
          <t>Seleccione un valor de la lista</t>
        </r>
      </text>
    </comment>
    <comment ref="F5947" authorId="2">
      <text>
        <r>
          <rPr>
            <sz val="11"/>
            <color theme="1"/>
            <rFont val="Calibri"/>
            <family val="2"/>
            <scheme val="minor"/>
          </rPr>
          <t>Introduzca el código SNIP</t>
        </r>
      </text>
    </comment>
    <comment ref="C5948" authorId="2">
      <text>
        <r>
          <rPr>
            <sz val="11"/>
            <color theme="1"/>
            <rFont val="Calibri"/>
            <family val="2"/>
            <scheme val="minor"/>
          </rPr>
          <t>Introduzca la fecha de inicio del proceso, en formato dd-mm-aaaa</t>
        </r>
      </text>
    </comment>
    <comment ref="F59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9" authorId="2">
      <text/>
    </comment>
    <comment ref="C5950" authorId="2">
      <text>
        <r>
          <rPr>
            <sz val="11"/>
            <color theme="1"/>
            <rFont val="Calibri"/>
            <family val="2"/>
            <scheme val="minor"/>
          </rPr>
          <t>Introduzca la fecha prevista de adjudicación, en formato dd-mm-aaaa</t>
        </r>
      </text>
    </comment>
    <comment ref="F5950" authorId="2">
      <text/>
    </comment>
    <comment ref="F5951" authorId="2">
      <text/>
    </comment>
    <comment ref="A5953" authorId="2">
      <text>
        <r>
          <rPr>
            <sz val="11"/>
            <color theme="1"/>
            <rFont val="Calibri"/>
            <family val="2"/>
            <scheme val="minor"/>
          </rPr>
          <t>Introduzca un codigo UNSPSC</t>
        </r>
      </text>
    </comment>
    <comment ref="B5953" authorId="2">
      <text>
        <r>
          <rPr>
            <sz val="11"/>
            <color theme="1"/>
            <rFont val="Calibri"/>
            <family val="2"/>
            <scheme val="minor"/>
          </rPr>
          <t>Descripción calculada automáticamente a partir de código del artículo</t>
        </r>
      </text>
    </comment>
    <comment ref="C5953" authorId="2">
      <text>
        <r>
          <rPr>
            <sz val="11"/>
            <color theme="1"/>
            <rFont val="Calibri"/>
            <family val="2"/>
            <scheme val="minor"/>
          </rPr>
          <t>Seleccione un valor de la lista</t>
        </r>
      </text>
    </comment>
    <comment ref="D5953" authorId="2">
      <text>
        <r>
          <rPr>
            <sz val="11"/>
            <color theme="1"/>
            <rFont val="Calibri"/>
            <family val="2"/>
            <scheme val="minor"/>
          </rPr>
          <t>Introduzca un número con dos decimales como máximo. Debe ser igual o mayor a la "Cantidad Real Consumida"</t>
        </r>
      </text>
    </comment>
    <comment ref="E5953" authorId="2">
      <text>
        <r>
          <rPr>
            <sz val="11"/>
            <color theme="1"/>
            <rFont val="Calibri"/>
            <family val="2"/>
            <scheme val="minor"/>
          </rPr>
          <t>Introduzca un número con dos decimales como máximo</t>
        </r>
      </text>
    </comment>
    <comment ref="F5953" authorId="2">
      <text>
        <r>
          <rPr>
            <sz val="11"/>
            <color theme="1"/>
            <rFont val="Calibri"/>
            <family val="2"/>
            <scheme val="minor"/>
          </rPr>
          <t>Monto calculado automáticamente por el sistema</t>
        </r>
      </text>
    </comment>
    <comment ref="A5958" authorId="2">
      <text>
        <r>
          <rPr>
            <sz val="11"/>
            <color theme="1"/>
            <rFont val="Calibri"/>
            <family val="2"/>
            <scheme val="minor"/>
          </rPr>
          <t>Introducir un texto con el nombre o referencia de la contratación</t>
        </r>
      </text>
    </comment>
    <comment ref="B5958" authorId="2">
      <text>
        <r>
          <rPr>
            <sz val="11"/>
            <color theme="1"/>
            <rFont val="Calibri"/>
            <family val="2"/>
            <scheme val="minor"/>
          </rPr>
          <t>Introduzca un texto con la finalidad de la contratación</t>
        </r>
      </text>
    </comment>
    <comment ref="C5958" authorId="2">
      <text>
        <r>
          <rPr>
            <sz val="11"/>
            <color theme="1"/>
            <rFont val="Calibri"/>
            <family val="2"/>
            <scheme val="minor"/>
          </rPr>
          <t>Seleccionar un valor del listado</t>
        </r>
      </text>
    </comment>
    <comment ref="D5958" authorId="2">
      <text>
        <r>
          <rPr>
            <sz val="11"/>
            <color theme="1"/>
            <rFont val="Calibri"/>
            <family val="2"/>
            <scheme val="minor"/>
          </rPr>
          <t>Seleccione el tipo de procedimiento</t>
        </r>
      </text>
    </comment>
    <comment ref="E5958" authorId="2">
      <text>
        <r>
          <rPr>
            <sz val="11"/>
            <color theme="1"/>
            <rFont val="Calibri"/>
            <family val="2"/>
            <scheme val="minor"/>
          </rPr>
          <t>Seleccione un valor de la lista</t>
        </r>
      </text>
    </comment>
    <comment ref="F5958" authorId="2">
      <text>
        <r>
          <rPr>
            <sz val="11"/>
            <color theme="1"/>
            <rFont val="Calibri"/>
            <family val="2"/>
            <scheme val="minor"/>
          </rPr>
          <t>Introduzca el código SNIP</t>
        </r>
      </text>
    </comment>
    <comment ref="C5959" authorId="2">
      <text>
        <r>
          <rPr>
            <sz val="11"/>
            <color theme="1"/>
            <rFont val="Calibri"/>
            <family val="2"/>
            <scheme val="minor"/>
          </rPr>
          <t>Introduzca la fecha de inicio del proceso, en formato dd-mm-aaaa</t>
        </r>
      </text>
    </comment>
    <comment ref="F59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0" authorId="2">
      <text/>
    </comment>
    <comment ref="C5961" authorId="2">
      <text>
        <r>
          <rPr>
            <sz val="11"/>
            <color theme="1"/>
            <rFont val="Calibri"/>
            <family val="2"/>
            <scheme val="minor"/>
          </rPr>
          <t>Introduzca la fecha prevista de adjudicación, en formato dd-mm-aaaa</t>
        </r>
      </text>
    </comment>
    <comment ref="F5961" authorId="2">
      <text/>
    </comment>
    <comment ref="F5962" authorId="2">
      <text/>
    </comment>
    <comment ref="A5964" authorId="2">
      <text>
        <r>
          <rPr>
            <sz val="11"/>
            <color theme="1"/>
            <rFont val="Calibri"/>
            <family val="2"/>
            <scheme val="minor"/>
          </rPr>
          <t>Introduzca un codigo UNSPSC</t>
        </r>
      </text>
    </comment>
    <comment ref="B5964" authorId="2">
      <text>
        <r>
          <rPr>
            <sz val="11"/>
            <color theme="1"/>
            <rFont val="Calibri"/>
            <family val="2"/>
            <scheme val="minor"/>
          </rPr>
          <t>Descripción calculada automáticamente a partir de código del artículo</t>
        </r>
      </text>
    </comment>
    <comment ref="C5964" authorId="2">
      <text>
        <r>
          <rPr>
            <sz val="11"/>
            <color theme="1"/>
            <rFont val="Calibri"/>
            <family val="2"/>
            <scheme val="minor"/>
          </rPr>
          <t>Seleccione un valor de la lista</t>
        </r>
      </text>
    </comment>
    <comment ref="D5964" authorId="2">
      <text>
        <r>
          <rPr>
            <sz val="11"/>
            <color theme="1"/>
            <rFont val="Calibri"/>
            <family val="2"/>
            <scheme val="minor"/>
          </rPr>
          <t>Introduzca un número con dos decimales como máximo. Debe ser igual o mayor a la "Cantidad Real Consumida"</t>
        </r>
      </text>
    </comment>
    <comment ref="E5964" authorId="2">
      <text>
        <r>
          <rPr>
            <sz val="11"/>
            <color theme="1"/>
            <rFont val="Calibri"/>
            <family val="2"/>
            <scheme val="minor"/>
          </rPr>
          <t>Introduzca un número con dos decimales como máximo</t>
        </r>
      </text>
    </comment>
    <comment ref="F5964" authorId="2">
      <text>
        <r>
          <rPr>
            <sz val="11"/>
            <color theme="1"/>
            <rFont val="Calibri"/>
            <family val="2"/>
            <scheme val="minor"/>
          </rPr>
          <t>Monto calculado automáticamente por el sistema</t>
        </r>
      </text>
    </comment>
    <comment ref="A5970" authorId="2">
      <text>
        <r>
          <rPr>
            <sz val="11"/>
            <color theme="1"/>
            <rFont val="Calibri"/>
            <family val="2"/>
            <scheme val="minor"/>
          </rPr>
          <t>Introducir un texto con el nombre o referencia de la contratación</t>
        </r>
      </text>
    </comment>
    <comment ref="B5970" authorId="2">
      <text>
        <r>
          <rPr>
            <sz val="11"/>
            <color theme="1"/>
            <rFont val="Calibri"/>
            <family val="2"/>
            <scheme val="minor"/>
          </rPr>
          <t>Introduzca un texto con la finalidad de la contratación</t>
        </r>
      </text>
    </comment>
    <comment ref="C5970" authorId="2">
      <text>
        <r>
          <rPr>
            <sz val="11"/>
            <color theme="1"/>
            <rFont val="Calibri"/>
            <family val="2"/>
            <scheme val="minor"/>
          </rPr>
          <t>Seleccionar un valor del listado</t>
        </r>
      </text>
    </comment>
    <comment ref="D5970" authorId="2">
      <text>
        <r>
          <rPr>
            <sz val="11"/>
            <color theme="1"/>
            <rFont val="Calibri"/>
            <family val="2"/>
            <scheme val="minor"/>
          </rPr>
          <t>Seleccione el tipo de procedimiento</t>
        </r>
      </text>
    </comment>
    <comment ref="E5970" authorId="2">
      <text>
        <r>
          <rPr>
            <sz val="11"/>
            <color theme="1"/>
            <rFont val="Calibri"/>
            <family val="2"/>
            <scheme val="minor"/>
          </rPr>
          <t>Seleccione un valor de la lista</t>
        </r>
      </text>
    </comment>
    <comment ref="F5970" authorId="2">
      <text>
        <r>
          <rPr>
            <sz val="11"/>
            <color theme="1"/>
            <rFont val="Calibri"/>
            <family val="2"/>
            <scheme val="minor"/>
          </rPr>
          <t>Introduzca el código SNIP</t>
        </r>
      </text>
    </comment>
    <comment ref="C5971" authorId="2">
      <text>
        <r>
          <rPr>
            <sz val="11"/>
            <color theme="1"/>
            <rFont val="Calibri"/>
            <family val="2"/>
            <scheme val="minor"/>
          </rPr>
          <t>Introduzca la fecha de inicio del proceso, en formato dd-mm-aaaa</t>
        </r>
      </text>
    </comment>
    <comment ref="F59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2" authorId="2">
      <text/>
    </comment>
    <comment ref="C5973" authorId="2">
      <text>
        <r>
          <rPr>
            <sz val="11"/>
            <color theme="1"/>
            <rFont val="Calibri"/>
            <family val="2"/>
            <scheme val="minor"/>
          </rPr>
          <t>Introduzca la fecha prevista de adjudicación, en formato dd-mm-aaaa</t>
        </r>
      </text>
    </comment>
    <comment ref="F5973" authorId="2">
      <text/>
    </comment>
    <comment ref="F5974" authorId="2">
      <text/>
    </comment>
    <comment ref="A5976" authorId="2">
      <text>
        <r>
          <rPr>
            <sz val="11"/>
            <color theme="1"/>
            <rFont val="Calibri"/>
            <family val="2"/>
            <scheme val="minor"/>
          </rPr>
          <t>Introduzca un codigo UNSPSC</t>
        </r>
      </text>
    </comment>
    <comment ref="B5976" authorId="2">
      <text>
        <r>
          <rPr>
            <sz val="11"/>
            <color theme="1"/>
            <rFont val="Calibri"/>
            <family val="2"/>
            <scheme val="minor"/>
          </rPr>
          <t>Descripción calculada automáticamente a partir de código del artículo</t>
        </r>
      </text>
    </comment>
    <comment ref="C5976" authorId="2">
      <text>
        <r>
          <rPr>
            <sz val="11"/>
            <color theme="1"/>
            <rFont val="Calibri"/>
            <family val="2"/>
            <scheme val="minor"/>
          </rPr>
          <t>Seleccione un valor de la lista</t>
        </r>
      </text>
    </comment>
    <comment ref="D5976" authorId="2">
      <text>
        <r>
          <rPr>
            <sz val="11"/>
            <color theme="1"/>
            <rFont val="Calibri"/>
            <family val="2"/>
            <scheme val="minor"/>
          </rPr>
          <t>Introduzca un número con dos decimales como máximo. Debe ser igual o mayor a la "Cantidad Real Consumida"</t>
        </r>
      </text>
    </comment>
    <comment ref="E5976" authorId="2">
      <text>
        <r>
          <rPr>
            <sz val="11"/>
            <color theme="1"/>
            <rFont val="Calibri"/>
            <family val="2"/>
            <scheme val="minor"/>
          </rPr>
          <t>Introduzca un número con dos decimales como máximo</t>
        </r>
      </text>
    </comment>
    <comment ref="F5976" authorId="2">
      <text>
        <r>
          <rPr>
            <sz val="11"/>
            <color theme="1"/>
            <rFont val="Calibri"/>
            <family val="2"/>
            <scheme val="minor"/>
          </rPr>
          <t>Monto calculado automáticamente por el sistema</t>
        </r>
      </text>
    </comment>
    <comment ref="A5981" authorId="2">
      <text>
        <r>
          <rPr>
            <sz val="11"/>
            <color theme="1"/>
            <rFont val="Calibri"/>
            <family val="2"/>
            <scheme val="minor"/>
          </rPr>
          <t>Introducir un texto con el nombre o referencia de la contratación</t>
        </r>
      </text>
    </comment>
    <comment ref="B5981" authorId="2">
      <text>
        <r>
          <rPr>
            <sz val="11"/>
            <color theme="1"/>
            <rFont val="Calibri"/>
            <family val="2"/>
            <scheme val="minor"/>
          </rPr>
          <t>Introduzca un texto con la finalidad de la contratación</t>
        </r>
      </text>
    </comment>
    <comment ref="C5981" authorId="2">
      <text>
        <r>
          <rPr>
            <sz val="11"/>
            <color theme="1"/>
            <rFont val="Calibri"/>
            <family val="2"/>
            <scheme val="minor"/>
          </rPr>
          <t>Seleccionar un valor del listado</t>
        </r>
      </text>
    </comment>
    <comment ref="D5981" authorId="2">
      <text>
        <r>
          <rPr>
            <sz val="11"/>
            <color theme="1"/>
            <rFont val="Calibri"/>
            <family val="2"/>
            <scheme val="minor"/>
          </rPr>
          <t>Seleccione el tipo de procedimiento</t>
        </r>
      </text>
    </comment>
    <comment ref="E5981" authorId="2">
      <text>
        <r>
          <rPr>
            <sz val="11"/>
            <color theme="1"/>
            <rFont val="Calibri"/>
            <family val="2"/>
            <scheme val="minor"/>
          </rPr>
          <t>Seleccione un valor de la lista</t>
        </r>
      </text>
    </comment>
    <comment ref="F5981" authorId="2">
      <text>
        <r>
          <rPr>
            <sz val="11"/>
            <color theme="1"/>
            <rFont val="Calibri"/>
            <family val="2"/>
            <scheme val="minor"/>
          </rPr>
          <t>Introduzca el código SNIP</t>
        </r>
      </text>
    </comment>
    <comment ref="C5982" authorId="2">
      <text>
        <r>
          <rPr>
            <sz val="11"/>
            <color theme="1"/>
            <rFont val="Calibri"/>
            <family val="2"/>
            <scheme val="minor"/>
          </rPr>
          <t>Introduzca la fecha de inicio del proceso, en formato dd-mm-aaaa</t>
        </r>
      </text>
    </comment>
    <comment ref="F59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3" authorId="2">
      <text/>
    </comment>
    <comment ref="C5984" authorId="2">
      <text>
        <r>
          <rPr>
            <sz val="11"/>
            <color theme="1"/>
            <rFont val="Calibri"/>
            <family val="2"/>
            <scheme val="minor"/>
          </rPr>
          <t>Introduzca la fecha prevista de adjudicación, en formato dd-mm-aaaa</t>
        </r>
      </text>
    </comment>
    <comment ref="F5984" authorId="2">
      <text/>
    </comment>
    <comment ref="F5985" authorId="2">
      <text/>
    </comment>
    <comment ref="A5987" authorId="2">
      <text>
        <r>
          <rPr>
            <sz val="11"/>
            <color theme="1"/>
            <rFont val="Calibri"/>
            <family val="2"/>
            <scheme val="minor"/>
          </rPr>
          <t>Introduzca un codigo UNSPSC</t>
        </r>
      </text>
    </comment>
    <comment ref="B5987" authorId="2">
      <text>
        <r>
          <rPr>
            <sz val="11"/>
            <color theme="1"/>
            <rFont val="Calibri"/>
            <family val="2"/>
            <scheme val="minor"/>
          </rPr>
          <t>Descripción calculada automáticamente a partir de código del artículo</t>
        </r>
      </text>
    </comment>
    <comment ref="C5987" authorId="2">
      <text>
        <r>
          <rPr>
            <sz val="11"/>
            <color theme="1"/>
            <rFont val="Calibri"/>
            <family val="2"/>
            <scheme val="minor"/>
          </rPr>
          <t>Seleccione un valor de la lista</t>
        </r>
      </text>
    </comment>
    <comment ref="D5987" authorId="2">
      <text>
        <r>
          <rPr>
            <sz val="11"/>
            <color theme="1"/>
            <rFont val="Calibri"/>
            <family val="2"/>
            <scheme val="minor"/>
          </rPr>
          <t>Introduzca un número con dos decimales como máximo. Debe ser igual o mayor a la "Cantidad Real Consumida"</t>
        </r>
      </text>
    </comment>
    <comment ref="E5987" authorId="2">
      <text>
        <r>
          <rPr>
            <sz val="11"/>
            <color theme="1"/>
            <rFont val="Calibri"/>
            <family val="2"/>
            <scheme val="minor"/>
          </rPr>
          <t>Introduzca un número con dos decimales como máximo</t>
        </r>
      </text>
    </comment>
    <comment ref="F5987" authorId="2">
      <text>
        <r>
          <rPr>
            <sz val="11"/>
            <color theme="1"/>
            <rFont val="Calibri"/>
            <family val="2"/>
            <scheme val="minor"/>
          </rPr>
          <t>Monto calculado automáticamente por el sistema</t>
        </r>
      </text>
    </comment>
    <comment ref="A5992" authorId="2">
      <text>
        <r>
          <rPr>
            <sz val="11"/>
            <color theme="1"/>
            <rFont val="Calibri"/>
            <family val="2"/>
            <scheme val="minor"/>
          </rPr>
          <t>Introducir un texto con el nombre o referencia de la contratación</t>
        </r>
      </text>
    </comment>
    <comment ref="B5992" authorId="2">
      <text>
        <r>
          <rPr>
            <sz val="11"/>
            <color theme="1"/>
            <rFont val="Calibri"/>
            <family val="2"/>
            <scheme val="minor"/>
          </rPr>
          <t>Introduzca un texto con la finalidad de la contratación</t>
        </r>
      </text>
    </comment>
    <comment ref="C5992" authorId="2">
      <text>
        <r>
          <rPr>
            <sz val="11"/>
            <color theme="1"/>
            <rFont val="Calibri"/>
            <family val="2"/>
            <scheme val="minor"/>
          </rPr>
          <t>Seleccionar un valor del listado</t>
        </r>
      </text>
    </comment>
    <comment ref="D5992" authorId="2">
      <text>
        <r>
          <rPr>
            <sz val="11"/>
            <color theme="1"/>
            <rFont val="Calibri"/>
            <family val="2"/>
            <scheme val="minor"/>
          </rPr>
          <t>Seleccione el tipo de procedimiento</t>
        </r>
      </text>
    </comment>
    <comment ref="E5992" authorId="2">
      <text>
        <r>
          <rPr>
            <sz val="11"/>
            <color theme="1"/>
            <rFont val="Calibri"/>
            <family val="2"/>
            <scheme val="minor"/>
          </rPr>
          <t>Seleccione un valor de la lista</t>
        </r>
      </text>
    </comment>
    <comment ref="F5992" authorId="2">
      <text>
        <r>
          <rPr>
            <sz val="11"/>
            <color theme="1"/>
            <rFont val="Calibri"/>
            <family val="2"/>
            <scheme val="minor"/>
          </rPr>
          <t>Introduzca el código SNIP</t>
        </r>
      </text>
    </comment>
    <comment ref="C5993" authorId="2">
      <text>
        <r>
          <rPr>
            <sz val="11"/>
            <color theme="1"/>
            <rFont val="Calibri"/>
            <family val="2"/>
            <scheme val="minor"/>
          </rPr>
          <t>Introduzca la fecha de inicio del proceso, en formato dd-mm-aaaa</t>
        </r>
      </text>
    </comment>
    <comment ref="F59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4" authorId="2">
      <text/>
    </comment>
    <comment ref="C5995" authorId="2">
      <text>
        <r>
          <rPr>
            <sz val="11"/>
            <color theme="1"/>
            <rFont val="Calibri"/>
            <family val="2"/>
            <scheme val="minor"/>
          </rPr>
          <t>Introduzca la fecha prevista de adjudicación, en formato dd-mm-aaaa</t>
        </r>
      </text>
    </comment>
    <comment ref="F5995" authorId="2">
      <text/>
    </comment>
    <comment ref="F5996" authorId="2">
      <text/>
    </comment>
    <comment ref="A5998" authorId="2">
      <text>
        <r>
          <rPr>
            <sz val="11"/>
            <color theme="1"/>
            <rFont val="Calibri"/>
            <family val="2"/>
            <scheme val="minor"/>
          </rPr>
          <t>Introduzca un codigo UNSPSC</t>
        </r>
      </text>
    </comment>
    <comment ref="B5998" authorId="2">
      <text>
        <r>
          <rPr>
            <sz val="11"/>
            <color theme="1"/>
            <rFont val="Calibri"/>
            <family val="2"/>
            <scheme val="minor"/>
          </rPr>
          <t>Descripción calculada automáticamente a partir de código del artículo</t>
        </r>
      </text>
    </comment>
    <comment ref="C5998" authorId="2">
      <text>
        <r>
          <rPr>
            <sz val="11"/>
            <color theme="1"/>
            <rFont val="Calibri"/>
            <family val="2"/>
            <scheme val="minor"/>
          </rPr>
          <t>Seleccione un valor de la lista</t>
        </r>
      </text>
    </comment>
    <comment ref="D5998" authorId="2">
      <text>
        <r>
          <rPr>
            <sz val="11"/>
            <color theme="1"/>
            <rFont val="Calibri"/>
            <family val="2"/>
            <scheme val="minor"/>
          </rPr>
          <t>Introduzca un número con dos decimales como máximo. Debe ser igual o mayor a la "Cantidad Real Consumida"</t>
        </r>
      </text>
    </comment>
    <comment ref="E5998" authorId="2">
      <text>
        <r>
          <rPr>
            <sz val="11"/>
            <color theme="1"/>
            <rFont val="Calibri"/>
            <family val="2"/>
            <scheme val="minor"/>
          </rPr>
          <t>Introduzca un número con dos decimales como máximo</t>
        </r>
      </text>
    </comment>
    <comment ref="F5998" authorId="2">
      <text>
        <r>
          <rPr>
            <sz val="11"/>
            <color theme="1"/>
            <rFont val="Calibri"/>
            <family val="2"/>
            <scheme val="minor"/>
          </rPr>
          <t>Monto calculado automáticamente por el sistema</t>
        </r>
      </text>
    </comment>
    <comment ref="A6010" authorId="2">
      <text>
        <r>
          <rPr>
            <sz val="11"/>
            <color theme="1"/>
            <rFont val="Calibri"/>
            <family val="2"/>
            <scheme val="minor"/>
          </rPr>
          <t>Introducir un texto con el nombre o referencia de la contratación</t>
        </r>
      </text>
    </comment>
    <comment ref="B6010" authorId="2">
      <text>
        <r>
          <rPr>
            <sz val="11"/>
            <color theme="1"/>
            <rFont val="Calibri"/>
            <family val="2"/>
            <scheme val="minor"/>
          </rPr>
          <t>Introduzca un texto con la finalidad de la contratación</t>
        </r>
      </text>
    </comment>
    <comment ref="C6010" authorId="2">
      <text>
        <r>
          <rPr>
            <sz val="11"/>
            <color theme="1"/>
            <rFont val="Calibri"/>
            <family val="2"/>
            <scheme val="minor"/>
          </rPr>
          <t>Seleccionar un valor del listado</t>
        </r>
      </text>
    </comment>
    <comment ref="D6010" authorId="2">
      <text>
        <r>
          <rPr>
            <sz val="11"/>
            <color theme="1"/>
            <rFont val="Calibri"/>
            <family val="2"/>
            <scheme val="minor"/>
          </rPr>
          <t>Seleccione el tipo de procedimiento</t>
        </r>
      </text>
    </comment>
    <comment ref="E6010" authorId="2">
      <text>
        <r>
          <rPr>
            <sz val="11"/>
            <color theme="1"/>
            <rFont val="Calibri"/>
            <family val="2"/>
            <scheme val="minor"/>
          </rPr>
          <t>Seleccione un valor de la lista</t>
        </r>
      </text>
    </comment>
    <comment ref="F6010" authorId="2">
      <text>
        <r>
          <rPr>
            <sz val="11"/>
            <color theme="1"/>
            <rFont val="Calibri"/>
            <family val="2"/>
            <scheme val="minor"/>
          </rPr>
          <t>Introduzca el código SNIP</t>
        </r>
      </text>
    </comment>
    <comment ref="C6011" authorId="2">
      <text>
        <r>
          <rPr>
            <sz val="11"/>
            <color theme="1"/>
            <rFont val="Calibri"/>
            <family val="2"/>
            <scheme val="minor"/>
          </rPr>
          <t>Introduzca la fecha de inicio del proceso, en formato dd-mm-aaaa</t>
        </r>
      </text>
    </comment>
    <comment ref="F60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2" authorId="2">
      <text/>
    </comment>
    <comment ref="C6013" authorId="2">
      <text>
        <r>
          <rPr>
            <sz val="11"/>
            <color theme="1"/>
            <rFont val="Calibri"/>
            <family val="2"/>
            <scheme val="minor"/>
          </rPr>
          <t>Introduzca la fecha prevista de adjudicación, en formato dd-mm-aaaa</t>
        </r>
      </text>
    </comment>
    <comment ref="F6013" authorId="2">
      <text/>
    </comment>
    <comment ref="F6014" authorId="2">
      <text/>
    </comment>
    <comment ref="A6016" authorId="2">
      <text>
        <r>
          <rPr>
            <sz val="11"/>
            <color theme="1"/>
            <rFont val="Calibri"/>
            <family val="2"/>
            <scheme val="minor"/>
          </rPr>
          <t>Introduzca un codigo UNSPSC</t>
        </r>
      </text>
    </comment>
    <comment ref="B6016" authorId="2">
      <text>
        <r>
          <rPr>
            <sz val="11"/>
            <color theme="1"/>
            <rFont val="Calibri"/>
            <family val="2"/>
            <scheme val="minor"/>
          </rPr>
          <t>Descripción calculada automáticamente a partir de código del artículo</t>
        </r>
      </text>
    </comment>
    <comment ref="C6016" authorId="2">
      <text>
        <r>
          <rPr>
            <sz val="11"/>
            <color theme="1"/>
            <rFont val="Calibri"/>
            <family val="2"/>
            <scheme val="minor"/>
          </rPr>
          <t>Seleccione un valor de la lista</t>
        </r>
      </text>
    </comment>
    <comment ref="D6016" authorId="2">
      <text>
        <r>
          <rPr>
            <sz val="11"/>
            <color theme="1"/>
            <rFont val="Calibri"/>
            <family val="2"/>
            <scheme val="minor"/>
          </rPr>
          <t>Introduzca un número con dos decimales como máximo. Debe ser igual o mayor a la "Cantidad Real Consumida"</t>
        </r>
      </text>
    </comment>
    <comment ref="E6016" authorId="2">
      <text>
        <r>
          <rPr>
            <sz val="11"/>
            <color theme="1"/>
            <rFont val="Calibri"/>
            <family val="2"/>
            <scheme val="minor"/>
          </rPr>
          <t>Introduzca un número con dos decimales como máximo</t>
        </r>
      </text>
    </comment>
    <comment ref="F6016" authorId="2">
      <text>
        <r>
          <rPr>
            <sz val="11"/>
            <color theme="1"/>
            <rFont val="Calibri"/>
            <family val="2"/>
            <scheme val="minor"/>
          </rPr>
          <t>Monto calculado automáticamente por el sistema</t>
        </r>
      </text>
    </comment>
    <comment ref="A6021" authorId="2">
      <text>
        <r>
          <rPr>
            <sz val="11"/>
            <color theme="1"/>
            <rFont val="Calibri"/>
            <family val="2"/>
            <scheme val="minor"/>
          </rPr>
          <t>Introducir un texto con el nombre o referencia de la contratación</t>
        </r>
      </text>
    </comment>
    <comment ref="B6021" authorId="2">
      <text>
        <r>
          <rPr>
            <sz val="11"/>
            <color theme="1"/>
            <rFont val="Calibri"/>
            <family val="2"/>
            <scheme val="minor"/>
          </rPr>
          <t>Introduzca un texto con la finalidad de la contratación</t>
        </r>
      </text>
    </comment>
    <comment ref="C6021" authorId="2">
      <text>
        <r>
          <rPr>
            <sz val="11"/>
            <color theme="1"/>
            <rFont val="Calibri"/>
            <family val="2"/>
            <scheme val="minor"/>
          </rPr>
          <t>Seleccionar un valor del listado</t>
        </r>
      </text>
    </comment>
    <comment ref="D6021" authorId="2">
      <text>
        <r>
          <rPr>
            <sz val="11"/>
            <color theme="1"/>
            <rFont val="Calibri"/>
            <family val="2"/>
            <scheme val="minor"/>
          </rPr>
          <t>Seleccione el tipo de procedimiento</t>
        </r>
      </text>
    </comment>
    <comment ref="E6021" authorId="2">
      <text>
        <r>
          <rPr>
            <sz val="11"/>
            <color theme="1"/>
            <rFont val="Calibri"/>
            <family val="2"/>
            <scheme val="minor"/>
          </rPr>
          <t>Seleccione un valor de la lista</t>
        </r>
      </text>
    </comment>
    <comment ref="F6021" authorId="2">
      <text>
        <r>
          <rPr>
            <sz val="11"/>
            <color theme="1"/>
            <rFont val="Calibri"/>
            <family val="2"/>
            <scheme val="minor"/>
          </rPr>
          <t>Introduzca el código SNIP</t>
        </r>
      </text>
    </comment>
    <comment ref="C6022" authorId="2">
      <text>
        <r>
          <rPr>
            <sz val="11"/>
            <color theme="1"/>
            <rFont val="Calibri"/>
            <family val="2"/>
            <scheme val="minor"/>
          </rPr>
          <t>Introduzca la fecha de inicio del proceso, en formato dd-mm-aaaa</t>
        </r>
      </text>
    </comment>
    <comment ref="F60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3" authorId="2">
      <text/>
    </comment>
    <comment ref="C6024" authorId="2">
      <text>
        <r>
          <rPr>
            <sz val="11"/>
            <color theme="1"/>
            <rFont val="Calibri"/>
            <family val="2"/>
            <scheme val="minor"/>
          </rPr>
          <t>Introduzca la fecha prevista de adjudicación, en formato dd-mm-aaaa</t>
        </r>
      </text>
    </comment>
    <comment ref="F6024" authorId="2">
      <text/>
    </comment>
    <comment ref="F6025" authorId="2">
      <text/>
    </comment>
    <comment ref="A6027" authorId="2">
      <text>
        <r>
          <rPr>
            <sz val="11"/>
            <color theme="1"/>
            <rFont val="Calibri"/>
            <family val="2"/>
            <scheme val="minor"/>
          </rPr>
          <t>Introduzca un codigo UNSPSC</t>
        </r>
      </text>
    </comment>
    <comment ref="B6027" authorId="2">
      <text>
        <r>
          <rPr>
            <sz val="11"/>
            <color theme="1"/>
            <rFont val="Calibri"/>
            <family val="2"/>
            <scheme val="minor"/>
          </rPr>
          <t>Descripción calculada automáticamente a partir de código del artículo</t>
        </r>
      </text>
    </comment>
    <comment ref="C6027" authorId="2">
      <text>
        <r>
          <rPr>
            <sz val="11"/>
            <color theme="1"/>
            <rFont val="Calibri"/>
            <family val="2"/>
            <scheme val="minor"/>
          </rPr>
          <t>Seleccione un valor de la lista</t>
        </r>
      </text>
    </comment>
    <comment ref="D6027" authorId="2">
      <text>
        <r>
          <rPr>
            <sz val="11"/>
            <color theme="1"/>
            <rFont val="Calibri"/>
            <family val="2"/>
            <scheme val="minor"/>
          </rPr>
          <t>Introduzca un número con dos decimales como máximo. Debe ser igual o mayor a la "Cantidad Real Consumida"</t>
        </r>
      </text>
    </comment>
    <comment ref="E6027" authorId="2">
      <text>
        <r>
          <rPr>
            <sz val="11"/>
            <color theme="1"/>
            <rFont val="Calibri"/>
            <family val="2"/>
            <scheme val="minor"/>
          </rPr>
          <t>Introduzca un número con dos decimales como máximo</t>
        </r>
      </text>
    </comment>
    <comment ref="F6027" authorId="2">
      <text>
        <r>
          <rPr>
            <sz val="11"/>
            <color theme="1"/>
            <rFont val="Calibri"/>
            <family val="2"/>
            <scheme val="minor"/>
          </rPr>
          <t>Monto calculado automáticamente por el sistema</t>
        </r>
      </text>
    </comment>
    <comment ref="A6032" authorId="2">
      <text>
        <r>
          <rPr>
            <sz val="11"/>
            <color theme="1"/>
            <rFont val="Calibri"/>
            <family val="2"/>
            <scheme val="minor"/>
          </rPr>
          <t>Introducir un texto con el nombre o referencia de la contratación</t>
        </r>
      </text>
    </comment>
    <comment ref="B6032" authorId="2">
      <text>
        <r>
          <rPr>
            <sz val="11"/>
            <color theme="1"/>
            <rFont val="Calibri"/>
            <family val="2"/>
            <scheme val="minor"/>
          </rPr>
          <t>Introduzca un texto con la finalidad de la contratación</t>
        </r>
      </text>
    </comment>
    <comment ref="C6032" authorId="2">
      <text>
        <r>
          <rPr>
            <sz val="11"/>
            <color theme="1"/>
            <rFont val="Calibri"/>
            <family val="2"/>
            <scheme val="minor"/>
          </rPr>
          <t>Seleccionar un valor del listado</t>
        </r>
      </text>
    </comment>
    <comment ref="D6032" authorId="2">
      <text>
        <r>
          <rPr>
            <sz val="11"/>
            <color theme="1"/>
            <rFont val="Calibri"/>
            <family val="2"/>
            <scheme val="minor"/>
          </rPr>
          <t>Seleccione el tipo de procedimiento</t>
        </r>
      </text>
    </comment>
    <comment ref="E6032" authorId="2">
      <text>
        <r>
          <rPr>
            <sz val="11"/>
            <color theme="1"/>
            <rFont val="Calibri"/>
            <family val="2"/>
            <scheme val="minor"/>
          </rPr>
          <t>Seleccione un valor de la lista</t>
        </r>
      </text>
    </comment>
    <comment ref="F6032" authorId="2">
      <text>
        <r>
          <rPr>
            <sz val="11"/>
            <color theme="1"/>
            <rFont val="Calibri"/>
            <family val="2"/>
            <scheme val="minor"/>
          </rPr>
          <t>Introduzca el código SNIP</t>
        </r>
      </text>
    </comment>
    <comment ref="C6033" authorId="2">
      <text>
        <r>
          <rPr>
            <sz val="11"/>
            <color theme="1"/>
            <rFont val="Calibri"/>
            <family val="2"/>
            <scheme val="minor"/>
          </rPr>
          <t>Introduzca la fecha de inicio del proceso, en formato dd-mm-aaaa</t>
        </r>
      </text>
    </comment>
    <comment ref="F60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4" authorId="2">
      <text/>
    </comment>
    <comment ref="C6035" authorId="2">
      <text>
        <r>
          <rPr>
            <sz val="11"/>
            <color theme="1"/>
            <rFont val="Calibri"/>
            <family val="2"/>
            <scheme val="minor"/>
          </rPr>
          <t>Introduzca la fecha prevista de adjudicación, en formato dd-mm-aaaa</t>
        </r>
      </text>
    </comment>
    <comment ref="F6035" authorId="2">
      <text/>
    </comment>
    <comment ref="F6036" authorId="2">
      <text/>
    </comment>
    <comment ref="A6038" authorId="2">
      <text>
        <r>
          <rPr>
            <sz val="11"/>
            <color theme="1"/>
            <rFont val="Calibri"/>
            <family val="2"/>
            <scheme val="minor"/>
          </rPr>
          <t>Introduzca un codigo UNSPSC</t>
        </r>
      </text>
    </comment>
    <comment ref="B6038" authorId="2">
      <text>
        <r>
          <rPr>
            <sz val="11"/>
            <color theme="1"/>
            <rFont val="Calibri"/>
            <family val="2"/>
            <scheme val="minor"/>
          </rPr>
          <t>Descripción calculada automáticamente a partir de código del artículo</t>
        </r>
      </text>
    </comment>
    <comment ref="C6038" authorId="2">
      <text>
        <r>
          <rPr>
            <sz val="11"/>
            <color theme="1"/>
            <rFont val="Calibri"/>
            <family val="2"/>
            <scheme val="minor"/>
          </rPr>
          <t>Seleccione un valor de la lista</t>
        </r>
      </text>
    </comment>
    <comment ref="D6038" authorId="2">
      <text>
        <r>
          <rPr>
            <sz val="11"/>
            <color theme="1"/>
            <rFont val="Calibri"/>
            <family val="2"/>
            <scheme val="minor"/>
          </rPr>
          <t>Introduzca un número con dos decimales como máximo. Debe ser igual o mayor a la "Cantidad Real Consumida"</t>
        </r>
      </text>
    </comment>
    <comment ref="E6038" authorId="2">
      <text>
        <r>
          <rPr>
            <sz val="11"/>
            <color theme="1"/>
            <rFont val="Calibri"/>
            <family val="2"/>
            <scheme val="minor"/>
          </rPr>
          <t>Introduzca un número con dos decimales como máximo</t>
        </r>
      </text>
    </comment>
    <comment ref="F6038" authorId="2">
      <text>
        <r>
          <rPr>
            <sz val="11"/>
            <color theme="1"/>
            <rFont val="Calibri"/>
            <family val="2"/>
            <scheme val="minor"/>
          </rPr>
          <t>Monto calculado automáticamente por el sistema</t>
        </r>
      </text>
    </comment>
    <comment ref="A6043" authorId="2">
      <text>
        <r>
          <rPr>
            <sz val="11"/>
            <color theme="1"/>
            <rFont val="Calibri"/>
            <family val="2"/>
            <scheme val="minor"/>
          </rPr>
          <t>Introducir un texto con el nombre o referencia de la contratación</t>
        </r>
      </text>
    </comment>
    <comment ref="B6043" authorId="2">
      <text>
        <r>
          <rPr>
            <sz val="11"/>
            <color theme="1"/>
            <rFont val="Calibri"/>
            <family val="2"/>
            <scheme val="minor"/>
          </rPr>
          <t>Introduzca un texto con la finalidad de la contratación</t>
        </r>
      </text>
    </comment>
    <comment ref="C6043" authorId="2">
      <text>
        <r>
          <rPr>
            <sz val="11"/>
            <color theme="1"/>
            <rFont val="Calibri"/>
            <family val="2"/>
            <scheme val="minor"/>
          </rPr>
          <t>Seleccionar un valor del listado</t>
        </r>
      </text>
    </comment>
    <comment ref="D6043" authorId="2">
      <text>
        <r>
          <rPr>
            <sz val="11"/>
            <color theme="1"/>
            <rFont val="Calibri"/>
            <family val="2"/>
            <scheme val="minor"/>
          </rPr>
          <t>Seleccione el tipo de procedimiento</t>
        </r>
      </text>
    </comment>
    <comment ref="E6043" authorId="2">
      <text>
        <r>
          <rPr>
            <sz val="11"/>
            <color theme="1"/>
            <rFont val="Calibri"/>
            <family val="2"/>
            <scheme val="minor"/>
          </rPr>
          <t>Seleccione un valor de la lista</t>
        </r>
      </text>
    </comment>
    <comment ref="F6043" authorId="2">
      <text>
        <r>
          <rPr>
            <sz val="11"/>
            <color theme="1"/>
            <rFont val="Calibri"/>
            <family val="2"/>
            <scheme val="minor"/>
          </rPr>
          <t>Introduzca el código SNIP</t>
        </r>
      </text>
    </comment>
    <comment ref="C6044" authorId="2">
      <text>
        <r>
          <rPr>
            <sz val="11"/>
            <color theme="1"/>
            <rFont val="Calibri"/>
            <family val="2"/>
            <scheme val="minor"/>
          </rPr>
          <t>Introduzca la fecha de inicio del proceso, en formato dd-mm-aaaa</t>
        </r>
      </text>
    </comment>
    <comment ref="F60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5" authorId="2">
      <text/>
    </comment>
    <comment ref="C6046" authorId="2">
      <text>
        <r>
          <rPr>
            <sz val="11"/>
            <color theme="1"/>
            <rFont val="Calibri"/>
            <family val="2"/>
            <scheme val="minor"/>
          </rPr>
          <t>Introduzca la fecha prevista de adjudicación, en formato dd-mm-aaaa</t>
        </r>
      </text>
    </comment>
    <comment ref="F6046" authorId="2">
      <text/>
    </comment>
    <comment ref="F6047" authorId="2">
      <text/>
    </comment>
    <comment ref="A6049" authorId="2">
      <text>
        <r>
          <rPr>
            <sz val="11"/>
            <color theme="1"/>
            <rFont val="Calibri"/>
            <family val="2"/>
            <scheme val="minor"/>
          </rPr>
          <t>Introduzca un codigo UNSPSC</t>
        </r>
      </text>
    </comment>
    <comment ref="B6049" authorId="2">
      <text>
        <r>
          <rPr>
            <sz val="11"/>
            <color theme="1"/>
            <rFont val="Calibri"/>
            <family val="2"/>
            <scheme val="minor"/>
          </rPr>
          <t>Descripción calculada automáticamente a partir de código del artículo</t>
        </r>
      </text>
    </comment>
    <comment ref="C6049" authorId="2">
      <text>
        <r>
          <rPr>
            <sz val="11"/>
            <color theme="1"/>
            <rFont val="Calibri"/>
            <family val="2"/>
            <scheme val="minor"/>
          </rPr>
          <t>Seleccione un valor de la lista</t>
        </r>
      </text>
    </comment>
    <comment ref="D6049" authorId="2">
      <text>
        <r>
          <rPr>
            <sz val="11"/>
            <color theme="1"/>
            <rFont val="Calibri"/>
            <family val="2"/>
            <scheme val="minor"/>
          </rPr>
          <t>Introduzca un número con dos decimales como máximo. Debe ser igual o mayor a la "Cantidad Real Consumida"</t>
        </r>
      </text>
    </comment>
    <comment ref="E6049" authorId="2">
      <text>
        <r>
          <rPr>
            <sz val="11"/>
            <color theme="1"/>
            <rFont val="Calibri"/>
            <family val="2"/>
            <scheme val="minor"/>
          </rPr>
          <t>Introduzca un número con dos decimales como máximo</t>
        </r>
      </text>
    </comment>
    <comment ref="F6049" authorId="2">
      <text>
        <r>
          <rPr>
            <sz val="11"/>
            <color theme="1"/>
            <rFont val="Calibri"/>
            <family val="2"/>
            <scheme val="minor"/>
          </rPr>
          <t>Monto calculado automáticamente por el sistema</t>
        </r>
      </text>
    </comment>
    <comment ref="A6054" authorId="2">
      <text>
        <r>
          <rPr>
            <sz val="11"/>
            <color theme="1"/>
            <rFont val="Calibri"/>
            <family val="2"/>
            <scheme val="minor"/>
          </rPr>
          <t>Introducir un texto con el nombre o referencia de la contratación</t>
        </r>
      </text>
    </comment>
    <comment ref="B6054" authorId="2">
      <text>
        <r>
          <rPr>
            <sz val="11"/>
            <color theme="1"/>
            <rFont val="Calibri"/>
            <family val="2"/>
            <scheme val="minor"/>
          </rPr>
          <t>Introduzca un texto con la finalidad de la contratación</t>
        </r>
      </text>
    </comment>
    <comment ref="C6054" authorId="2">
      <text>
        <r>
          <rPr>
            <sz val="11"/>
            <color theme="1"/>
            <rFont val="Calibri"/>
            <family val="2"/>
            <scheme val="minor"/>
          </rPr>
          <t>Seleccionar un valor del listado</t>
        </r>
      </text>
    </comment>
    <comment ref="D6054" authorId="2">
      <text>
        <r>
          <rPr>
            <sz val="11"/>
            <color theme="1"/>
            <rFont val="Calibri"/>
            <family val="2"/>
            <scheme val="minor"/>
          </rPr>
          <t>Seleccione el tipo de procedimiento</t>
        </r>
      </text>
    </comment>
    <comment ref="E6054" authorId="2">
      <text>
        <r>
          <rPr>
            <sz val="11"/>
            <color theme="1"/>
            <rFont val="Calibri"/>
            <family val="2"/>
            <scheme val="minor"/>
          </rPr>
          <t>Seleccione un valor de la lista</t>
        </r>
      </text>
    </comment>
    <comment ref="F6054" authorId="2">
      <text>
        <r>
          <rPr>
            <sz val="11"/>
            <color theme="1"/>
            <rFont val="Calibri"/>
            <family val="2"/>
            <scheme val="minor"/>
          </rPr>
          <t>Introduzca el código SNIP</t>
        </r>
      </text>
    </comment>
    <comment ref="C6055" authorId="2">
      <text>
        <r>
          <rPr>
            <sz val="11"/>
            <color theme="1"/>
            <rFont val="Calibri"/>
            <family val="2"/>
            <scheme val="minor"/>
          </rPr>
          <t>Introduzca la fecha de inicio del proceso, en formato dd-mm-aaaa</t>
        </r>
      </text>
    </comment>
    <comment ref="F60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6" authorId="2">
      <text/>
    </comment>
    <comment ref="C6057" authorId="2">
      <text>
        <r>
          <rPr>
            <sz val="11"/>
            <color theme="1"/>
            <rFont val="Calibri"/>
            <family val="2"/>
            <scheme val="minor"/>
          </rPr>
          <t>Introduzca la fecha prevista de adjudicación, en formato dd-mm-aaaa</t>
        </r>
      </text>
    </comment>
    <comment ref="F6057" authorId="2">
      <text/>
    </comment>
    <comment ref="F6058" authorId="2">
      <text/>
    </comment>
    <comment ref="A6060" authorId="2">
      <text>
        <r>
          <rPr>
            <sz val="11"/>
            <color theme="1"/>
            <rFont val="Calibri"/>
            <family val="2"/>
            <scheme val="minor"/>
          </rPr>
          <t>Introduzca un codigo UNSPSC</t>
        </r>
      </text>
    </comment>
    <comment ref="B6060" authorId="2">
      <text>
        <r>
          <rPr>
            <sz val="11"/>
            <color theme="1"/>
            <rFont val="Calibri"/>
            <family val="2"/>
            <scheme val="minor"/>
          </rPr>
          <t>Descripción calculada automáticamente a partir de código del artículo</t>
        </r>
      </text>
    </comment>
    <comment ref="C6060" authorId="2">
      <text>
        <r>
          <rPr>
            <sz val="11"/>
            <color theme="1"/>
            <rFont val="Calibri"/>
            <family val="2"/>
            <scheme val="minor"/>
          </rPr>
          <t>Seleccione un valor de la lista</t>
        </r>
      </text>
    </comment>
    <comment ref="D6060" authorId="2">
      <text>
        <r>
          <rPr>
            <sz val="11"/>
            <color theme="1"/>
            <rFont val="Calibri"/>
            <family val="2"/>
            <scheme val="minor"/>
          </rPr>
          <t>Introduzca un número con dos decimales como máximo. Debe ser igual o mayor a la "Cantidad Real Consumida"</t>
        </r>
      </text>
    </comment>
    <comment ref="E6060" authorId="2">
      <text>
        <r>
          <rPr>
            <sz val="11"/>
            <color theme="1"/>
            <rFont val="Calibri"/>
            <family val="2"/>
            <scheme val="minor"/>
          </rPr>
          <t>Introduzca un número con dos decimales como máximo</t>
        </r>
      </text>
    </comment>
    <comment ref="F6060" authorId="2">
      <text>
        <r>
          <rPr>
            <sz val="11"/>
            <color theme="1"/>
            <rFont val="Calibri"/>
            <family val="2"/>
            <scheme val="minor"/>
          </rPr>
          <t>Monto calculado automáticamente por el sistema</t>
        </r>
      </text>
    </comment>
    <comment ref="A6067" authorId="2">
      <text>
        <r>
          <rPr>
            <sz val="11"/>
            <color theme="1"/>
            <rFont val="Calibri"/>
            <family val="2"/>
            <scheme val="minor"/>
          </rPr>
          <t>Introducir un texto con el nombre o referencia de la contratación</t>
        </r>
      </text>
    </comment>
    <comment ref="B6067" authorId="2">
      <text>
        <r>
          <rPr>
            <sz val="11"/>
            <color theme="1"/>
            <rFont val="Calibri"/>
            <family val="2"/>
            <scheme val="minor"/>
          </rPr>
          <t>Introduzca un texto con la finalidad de la contratación</t>
        </r>
      </text>
    </comment>
    <comment ref="C6067" authorId="2">
      <text>
        <r>
          <rPr>
            <sz val="11"/>
            <color theme="1"/>
            <rFont val="Calibri"/>
            <family val="2"/>
            <scheme val="minor"/>
          </rPr>
          <t>Seleccionar un valor del listado</t>
        </r>
      </text>
    </comment>
    <comment ref="D6067" authorId="2">
      <text>
        <r>
          <rPr>
            <sz val="11"/>
            <color theme="1"/>
            <rFont val="Calibri"/>
            <family val="2"/>
            <scheme val="minor"/>
          </rPr>
          <t>Seleccione el tipo de procedimiento</t>
        </r>
      </text>
    </comment>
    <comment ref="E6067" authorId="2">
      <text>
        <r>
          <rPr>
            <sz val="11"/>
            <color theme="1"/>
            <rFont val="Calibri"/>
            <family val="2"/>
            <scheme val="minor"/>
          </rPr>
          <t>Seleccione un valor de la lista</t>
        </r>
      </text>
    </comment>
    <comment ref="F6067" authorId="2">
      <text>
        <r>
          <rPr>
            <sz val="11"/>
            <color theme="1"/>
            <rFont val="Calibri"/>
            <family val="2"/>
            <scheme val="minor"/>
          </rPr>
          <t>Introduzca el código SNIP</t>
        </r>
      </text>
    </comment>
    <comment ref="C6068" authorId="2">
      <text>
        <r>
          <rPr>
            <sz val="11"/>
            <color theme="1"/>
            <rFont val="Calibri"/>
            <family val="2"/>
            <scheme val="minor"/>
          </rPr>
          <t>Introduzca la fecha de inicio del proceso, en formato dd-mm-aaaa</t>
        </r>
      </text>
    </comment>
    <comment ref="F60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9" authorId="2">
      <text/>
    </comment>
    <comment ref="C6070" authorId="2">
      <text>
        <r>
          <rPr>
            <sz val="11"/>
            <color theme="1"/>
            <rFont val="Calibri"/>
            <family val="2"/>
            <scheme val="minor"/>
          </rPr>
          <t>Introduzca la fecha prevista de adjudicación, en formato dd-mm-aaaa</t>
        </r>
      </text>
    </comment>
    <comment ref="F6070" authorId="2">
      <text/>
    </comment>
    <comment ref="F6071" authorId="2">
      <text/>
    </comment>
    <comment ref="A6073" authorId="2">
      <text>
        <r>
          <rPr>
            <sz val="11"/>
            <color theme="1"/>
            <rFont val="Calibri"/>
            <family val="2"/>
            <scheme val="minor"/>
          </rPr>
          <t>Introduzca un codigo UNSPSC</t>
        </r>
      </text>
    </comment>
    <comment ref="B6073" authorId="2">
      <text>
        <r>
          <rPr>
            <sz val="11"/>
            <color theme="1"/>
            <rFont val="Calibri"/>
            <family val="2"/>
            <scheme val="minor"/>
          </rPr>
          <t>Descripción calculada automáticamente a partir de código del artículo</t>
        </r>
      </text>
    </comment>
    <comment ref="C6073" authorId="2">
      <text>
        <r>
          <rPr>
            <sz val="11"/>
            <color theme="1"/>
            <rFont val="Calibri"/>
            <family val="2"/>
            <scheme val="minor"/>
          </rPr>
          <t>Seleccione un valor de la lista</t>
        </r>
      </text>
    </comment>
    <comment ref="D6073" authorId="2">
      <text>
        <r>
          <rPr>
            <sz val="11"/>
            <color theme="1"/>
            <rFont val="Calibri"/>
            <family val="2"/>
            <scheme val="minor"/>
          </rPr>
          <t>Introduzca un número con dos decimales como máximo. Debe ser igual o mayor a la "Cantidad Real Consumida"</t>
        </r>
      </text>
    </comment>
    <comment ref="E6073" authorId="2">
      <text>
        <r>
          <rPr>
            <sz val="11"/>
            <color theme="1"/>
            <rFont val="Calibri"/>
            <family val="2"/>
            <scheme val="minor"/>
          </rPr>
          <t>Introduzca un número con dos decimales como máximo</t>
        </r>
      </text>
    </comment>
    <comment ref="F6073" authorId="2">
      <text>
        <r>
          <rPr>
            <sz val="11"/>
            <color theme="1"/>
            <rFont val="Calibri"/>
            <family val="2"/>
            <scheme val="minor"/>
          </rPr>
          <t>Monto calculado automáticamente por el sistema</t>
        </r>
      </text>
    </comment>
    <comment ref="A6099" authorId="2">
      <text>
        <r>
          <rPr>
            <sz val="11"/>
            <color theme="1"/>
            <rFont val="Calibri"/>
            <family val="2"/>
            <scheme val="minor"/>
          </rPr>
          <t>Introducir un texto con el nombre o referencia de la contratación</t>
        </r>
      </text>
    </comment>
    <comment ref="B6099" authorId="2">
      <text>
        <r>
          <rPr>
            <sz val="11"/>
            <color theme="1"/>
            <rFont val="Calibri"/>
            <family val="2"/>
            <scheme val="minor"/>
          </rPr>
          <t>Introduzca un texto con la finalidad de la contratación</t>
        </r>
      </text>
    </comment>
    <comment ref="C6099" authorId="2">
      <text>
        <r>
          <rPr>
            <sz val="11"/>
            <color theme="1"/>
            <rFont val="Calibri"/>
            <family val="2"/>
            <scheme val="minor"/>
          </rPr>
          <t>Seleccionar un valor del listado</t>
        </r>
      </text>
    </comment>
    <comment ref="D6099" authorId="2">
      <text>
        <r>
          <rPr>
            <sz val="11"/>
            <color theme="1"/>
            <rFont val="Calibri"/>
            <family val="2"/>
            <scheme val="minor"/>
          </rPr>
          <t>Seleccione el tipo de procedimiento</t>
        </r>
      </text>
    </comment>
    <comment ref="E6099" authorId="2">
      <text>
        <r>
          <rPr>
            <sz val="11"/>
            <color theme="1"/>
            <rFont val="Calibri"/>
            <family val="2"/>
            <scheme val="minor"/>
          </rPr>
          <t>Seleccione un valor de la lista</t>
        </r>
      </text>
    </comment>
    <comment ref="F6099" authorId="2">
      <text>
        <r>
          <rPr>
            <sz val="11"/>
            <color theme="1"/>
            <rFont val="Calibri"/>
            <family val="2"/>
            <scheme val="minor"/>
          </rPr>
          <t>Introduzca el código SNIP</t>
        </r>
      </text>
    </comment>
    <comment ref="C6100" authorId="2">
      <text>
        <r>
          <rPr>
            <sz val="11"/>
            <color theme="1"/>
            <rFont val="Calibri"/>
            <family val="2"/>
            <scheme val="minor"/>
          </rPr>
          <t>Introduzca la fecha de inicio del proceso, en formato dd-mm-aaaa</t>
        </r>
      </text>
    </comment>
    <comment ref="F61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1" authorId="2">
      <text/>
    </comment>
    <comment ref="C6102" authorId="2">
      <text>
        <r>
          <rPr>
            <sz val="11"/>
            <color theme="1"/>
            <rFont val="Calibri"/>
            <family val="2"/>
            <scheme val="minor"/>
          </rPr>
          <t>Introduzca la fecha prevista de adjudicación, en formato dd-mm-aaaa</t>
        </r>
      </text>
    </comment>
    <comment ref="F6102" authorId="2">
      <text/>
    </comment>
    <comment ref="F6103" authorId="2">
      <text/>
    </comment>
    <comment ref="A6105" authorId="2">
      <text>
        <r>
          <rPr>
            <sz val="11"/>
            <color theme="1"/>
            <rFont val="Calibri"/>
            <family val="2"/>
            <scheme val="minor"/>
          </rPr>
          <t>Introduzca un codigo UNSPSC</t>
        </r>
      </text>
    </comment>
    <comment ref="B6105" authorId="2">
      <text>
        <r>
          <rPr>
            <sz val="11"/>
            <color theme="1"/>
            <rFont val="Calibri"/>
            <family val="2"/>
            <scheme val="minor"/>
          </rPr>
          <t>Descripción calculada automáticamente a partir de código del artículo</t>
        </r>
      </text>
    </comment>
    <comment ref="C6105" authorId="2">
      <text>
        <r>
          <rPr>
            <sz val="11"/>
            <color theme="1"/>
            <rFont val="Calibri"/>
            <family val="2"/>
            <scheme val="minor"/>
          </rPr>
          <t>Seleccione un valor de la lista</t>
        </r>
      </text>
    </comment>
    <comment ref="D6105" authorId="2">
      <text>
        <r>
          <rPr>
            <sz val="11"/>
            <color theme="1"/>
            <rFont val="Calibri"/>
            <family val="2"/>
            <scheme val="minor"/>
          </rPr>
          <t>Introduzca un número con dos decimales como máximo. Debe ser igual o mayor a la "Cantidad Real Consumida"</t>
        </r>
      </text>
    </comment>
    <comment ref="E6105" authorId="2">
      <text>
        <r>
          <rPr>
            <sz val="11"/>
            <color theme="1"/>
            <rFont val="Calibri"/>
            <family val="2"/>
            <scheme val="minor"/>
          </rPr>
          <t>Introduzca un número con dos decimales como máximo</t>
        </r>
      </text>
    </comment>
    <comment ref="F6105" authorId="2">
      <text>
        <r>
          <rPr>
            <sz val="11"/>
            <color theme="1"/>
            <rFont val="Calibri"/>
            <family val="2"/>
            <scheme val="minor"/>
          </rPr>
          <t>Monto calculado automáticamente por el sistema</t>
        </r>
      </text>
    </comment>
    <comment ref="A6110" authorId="2">
      <text>
        <r>
          <rPr>
            <sz val="11"/>
            <color theme="1"/>
            <rFont val="Calibri"/>
            <family val="2"/>
            <scheme val="minor"/>
          </rPr>
          <t>Introducir un texto con el nombre o referencia de la contratación</t>
        </r>
      </text>
    </comment>
    <comment ref="B6110" authorId="2">
      <text>
        <r>
          <rPr>
            <sz val="11"/>
            <color theme="1"/>
            <rFont val="Calibri"/>
            <family val="2"/>
            <scheme val="minor"/>
          </rPr>
          <t>Introduzca un texto con la finalidad de la contratación</t>
        </r>
      </text>
    </comment>
    <comment ref="C6110" authorId="2">
      <text>
        <r>
          <rPr>
            <sz val="11"/>
            <color theme="1"/>
            <rFont val="Calibri"/>
            <family val="2"/>
            <scheme val="minor"/>
          </rPr>
          <t>Seleccionar un valor del listado</t>
        </r>
      </text>
    </comment>
    <comment ref="D6110" authorId="2">
      <text>
        <r>
          <rPr>
            <sz val="11"/>
            <color theme="1"/>
            <rFont val="Calibri"/>
            <family val="2"/>
            <scheme val="minor"/>
          </rPr>
          <t>Seleccione el tipo de procedimiento</t>
        </r>
      </text>
    </comment>
    <comment ref="E6110" authorId="2">
      <text>
        <r>
          <rPr>
            <sz val="11"/>
            <color theme="1"/>
            <rFont val="Calibri"/>
            <family val="2"/>
            <scheme val="minor"/>
          </rPr>
          <t>Seleccione un valor de la lista</t>
        </r>
      </text>
    </comment>
    <comment ref="F6110" authorId="2">
      <text>
        <r>
          <rPr>
            <sz val="11"/>
            <color theme="1"/>
            <rFont val="Calibri"/>
            <family val="2"/>
            <scheme val="minor"/>
          </rPr>
          <t>Introduzca el código SNIP</t>
        </r>
      </text>
    </comment>
    <comment ref="C6111" authorId="2">
      <text>
        <r>
          <rPr>
            <sz val="11"/>
            <color theme="1"/>
            <rFont val="Calibri"/>
            <family val="2"/>
            <scheme val="minor"/>
          </rPr>
          <t>Introduzca la fecha de inicio del proceso, en formato dd-mm-aaaa</t>
        </r>
      </text>
    </comment>
    <comment ref="F61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2" authorId="2">
      <text/>
    </comment>
    <comment ref="C6113" authorId="2">
      <text>
        <r>
          <rPr>
            <sz val="11"/>
            <color theme="1"/>
            <rFont val="Calibri"/>
            <family val="2"/>
            <scheme val="minor"/>
          </rPr>
          <t>Introduzca la fecha prevista de adjudicación, en formato dd-mm-aaaa</t>
        </r>
      </text>
    </comment>
    <comment ref="F6113" authorId="2">
      <text/>
    </comment>
    <comment ref="F6114" authorId="2">
      <text/>
    </comment>
    <comment ref="A6116" authorId="2">
      <text>
        <r>
          <rPr>
            <sz val="11"/>
            <color theme="1"/>
            <rFont val="Calibri"/>
            <family val="2"/>
            <scheme val="minor"/>
          </rPr>
          <t>Introduzca un codigo UNSPSC</t>
        </r>
      </text>
    </comment>
    <comment ref="B6116" authorId="2">
      <text>
        <r>
          <rPr>
            <sz val="11"/>
            <color theme="1"/>
            <rFont val="Calibri"/>
            <family val="2"/>
            <scheme val="minor"/>
          </rPr>
          <t>Descripción calculada automáticamente a partir de código del artículo</t>
        </r>
      </text>
    </comment>
    <comment ref="C6116" authorId="2">
      <text>
        <r>
          <rPr>
            <sz val="11"/>
            <color theme="1"/>
            <rFont val="Calibri"/>
            <family val="2"/>
            <scheme val="minor"/>
          </rPr>
          <t>Seleccione un valor de la lista</t>
        </r>
      </text>
    </comment>
    <comment ref="D6116" authorId="2">
      <text>
        <r>
          <rPr>
            <sz val="11"/>
            <color theme="1"/>
            <rFont val="Calibri"/>
            <family val="2"/>
            <scheme val="minor"/>
          </rPr>
          <t>Introduzca un número con dos decimales como máximo. Debe ser igual o mayor a la "Cantidad Real Consumida"</t>
        </r>
      </text>
    </comment>
    <comment ref="E6116" authorId="2">
      <text>
        <r>
          <rPr>
            <sz val="11"/>
            <color theme="1"/>
            <rFont val="Calibri"/>
            <family val="2"/>
            <scheme val="minor"/>
          </rPr>
          <t>Introduzca un número con dos decimales como máximo</t>
        </r>
      </text>
    </comment>
    <comment ref="F6116" authorId="2">
      <text>
        <r>
          <rPr>
            <sz val="11"/>
            <color theme="1"/>
            <rFont val="Calibri"/>
            <family val="2"/>
            <scheme val="minor"/>
          </rPr>
          <t>Monto calculado automáticamente por el sistema</t>
        </r>
      </text>
    </comment>
    <comment ref="A6121" authorId="2">
      <text>
        <r>
          <rPr>
            <sz val="11"/>
            <color theme="1"/>
            <rFont val="Calibri"/>
            <family val="2"/>
            <scheme val="minor"/>
          </rPr>
          <t>Introducir un texto con el nombre o referencia de la contratación</t>
        </r>
      </text>
    </comment>
    <comment ref="B6121" authorId="2">
      <text>
        <r>
          <rPr>
            <sz val="11"/>
            <color theme="1"/>
            <rFont val="Calibri"/>
            <family val="2"/>
            <scheme val="minor"/>
          </rPr>
          <t>Introduzca un texto con la finalidad de la contratación</t>
        </r>
      </text>
    </comment>
    <comment ref="C6121" authorId="2">
      <text>
        <r>
          <rPr>
            <sz val="11"/>
            <color theme="1"/>
            <rFont val="Calibri"/>
            <family val="2"/>
            <scheme val="minor"/>
          </rPr>
          <t>Seleccionar un valor del listado</t>
        </r>
      </text>
    </comment>
    <comment ref="D6121" authorId="2">
      <text>
        <r>
          <rPr>
            <sz val="11"/>
            <color theme="1"/>
            <rFont val="Calibri"/>
            <family val="2"/>
            <scheme val="minor"/>
          </rPr>
          <t>Seleccione el tipo de procedimiento</t>
        </r>
      </text>
    </comment>
    <comment ref="E6121" authorId="2">
      <text>
        <r>
          <rPr>
            <sz val="11"/>
            <color theme="1"/>
            <rFont val="Calibri"/>
            <family val="2"/>
            <scheme val="minor"/>
          </rPr>
          <t>Seleccione un valor de la lista</t>
        </r>
      </text>
    </comment>
    <comment ref="F6121" authorId="2">
      <text>
        <r>
          <rPr>
            <sz val="11"/>
            <color theme="1"/>
            <rFont val="Calibri"/>
            <family val="2"/>
            <scheme val="minor"/>
          </rPr>
          <t>Introduzca el código SNIP</t>
        </r>
      </text>
    </comment>
    <comment ref="C6122" authorId="2">
      <text>
        <r>
          <rPr>
            <sz val="11"/>
            <color theme="1"/>
            <rFont val="Calibri"/>
            <family val="2"/>
            <scheme val="minor"/>
          </rPr>
          <t>Introduzca la fecha de inicio del proceso, en formato dd-mm-aaaa</t>
        </r>
      </text>
    </comment>
    <comment ref="F61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3" authorId="2">
      <text/>
    </comment>
    <comment ref="C6124" authorId="2">
      <text>
        <r>
          <rPr>
            <sz val="11"/>
            <color theme="1"/>
            <rFont val="Calibri"/>
            <family val="2"/>
            <scheme val="minor"/>
          </rPr>
          <t>Introduzca la fecha prevista de adjudicación, en formato dd-mm-aaaa</t>
        </r>
      </text>
    </comment>
    <comment ref="F6124" authorId="2">
      <text/>
    </comment>
    <comment ref="F6125" authorId="2">
      <text/>
    </comment>
    <comment ref="A6127" authorId="2">
      <text>
        <r>
          <rPr>
            <sz val="11"/>
            <color theme="1"/>
            <rFont val="Calibri"/>
            <family val="2"/>
            <scheme val="minor"/>
          </rPr>
          <t>Introduzca un codigo UNSPSC</t>
        </r>
      </text>
    </comment>
    <comment ref="B6127" authorId="2">
      <text>
        <r>
          <rPr>
            <sz val="11"/>
            <color theme="1"/>
            <rFont val="Calibri"/>
            <family val="2"/>
            <scheme val="minor"/>
          </rPr>
          <t>Descripción calculada automáticamente a partir de código del artículo</t>
        </r>
      </text>
    </comment>
    <comment ref="C6127" authorId="2">
      <text>
        <r>
          <rPr>
            <sz val="11"/>
            <color theme="1"/>
            <rFont val="Calibri"/>
            <family val="2"/>
            <scheme val="minor"/>
          </rPr>
          <t>Seleccione un valor de la lista</t>
        </r>
      </text>
    </comment>
    <comment ref="D6127" authorId="2">
      <text>
        <r>
          <rPr>
            <sz val="11"/>
            <color theme="1"/>
            <rFont val="Calibri"/>
            <family val="2"/>
            <scheme val="minor"/>
          </rPr>
          <t>Introduzca un número con dos decimales como máximo. Debe ser igual o mayor a la "Cantidad Real Consumida"</t>
        </r>
      </text>
    </comment>
    <comment ref="E6127" authorId="2">
      <text>
        <r>
          <rPr>
            <sz val="11"/>
            <color theme="1"/>
            <rFont val="Calibri"/>
            <family val="2"/>
            <scheme val="minor"/>
          </rPr>
          <t>Introduzca un número con dos decimales como máximo</t>
        </r>
      </text>
    </comment>
    <comment ref="F6127" authorId="2">
      <text>
        <r>
          <rPr>
            <sz val="11"/>
            <color theme="1"/>
            <rFont val="Calibri"/>
            <family val="2"/>
            <scheme val="minor"/>
          </rPr>
          <t>Monto calculado automáticamente por el sistema</t>
        </r>
      </text>
    </comment>
    <comment ref="A6132" authorId="2">
      <text>
        <r>
          <rPr>
            <sz val="11"/>
            <color theme="1"/>
            <rFont val="Calibri"/>
            <family val="2"/>
            <scheme val="minor"/>
          </rPr>
          <t>Introducir un texto con el nombre o referencia de la contratación</t>
        </r>
      </text>
    </comment>
    <comment ref="B6132" authorId="2">
      <text>
        <r>
          <rPr>
            <sz val="11"/>
            <color theme="1"/>
            <rFont val="Calibri"/>
            <family val="2"/>
            <scheme val="minor"/>
          </rPr>
          <t>Introduzca un texto con la finalidad de la contratación</t>
        </r>
      </text>
    </comment>
    <comment ref="C6132" authorId="2">
      <text>
        <r>
          <rPr>
            <sz val="11"/>
            <color theme="1"/>
            <rFont val="Calibri"/>
            <family val="2"/>
            <scheme val="minor"/>
          </rPr>
          <t>Seleccionar un valor del listado</t>
        </r>
      </text>
    </comment>
    <comment ref="D6132" authorId="2">
      <text>
        <r>
          <rPr>
            <sz val="11"/>
            <color theme="1"/>
            <rFont val="Calibri"/>
            <family val="2"/>
            <scheme val="minor"/>
          </rPr>
          <t>Seleccione el tipo de procedimiento</t>
        </r>
      </text>
    </comment>
    <comment ref="E6132" authorId="2">
      <text>
        <r>
          <rPr>
            <sz val="11"/>
            <color theme="1"/>
            <rFont val="Calibri"/>
            <family val="2"/>
            <scheme val="minor"/>
          </rPr>
          <t>Seleccione un valor de la lista</t>
        </r>
      </text>
    </comment>
    <comment ref="F6132" authorId="2">
      <text>
        <r>
          <rPr>
            <sz val="11"/>
            <color theme="1"/>
            <rFont val="Calibri"/>
            <family val="2"/>
            <scheme val="minor"/>
          </rPr>
          <t>Introduzca el código SNIP</t>
        </r>
      </text>
    </comment>
    <comment ref="C6133" authorId="2">
      <text>
        <r>
          <rPr>
            <sz val="11"/>
            <color theme="1"/>
            <rFont val="Calibri"/>
            <family val="2"/>
            <scheme val="minor"/>
          </rPr>
          <t>Introduzca la fecha de inicio del proceso, en formato dd-mm-aaaa</t>
        </r>
      </text>
    </comment>
    <comment ref="F61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4" authorId="2">
      <text/>
    </comment>
    <comment ref="C6135" authorId="2">
      <text>
        <r>
          <rPr>
            <sz val="11"/>
            <color theme="1"/>
            <rFont val="Calibri"/>
            <family val="2"/>
            <scheme val="minor"/>
          </rPr>
          <t>Introduzca la fecha prevista de adjudicación, en formato dd-mm-aaaa</t>
        </r>
      </text>
    </comment>
    <comment ref="F6135" authorId="2">
      <text/>
    </comment>
    <comment ref="F6136" authorId="2">
      <text/>
    </comment>
    <comment ref="A6138" authorId="2">
      <text>
        <r>
          <rPr>
            <sz val="11"/>
            <color theme="1"/>
            <rFont val="Calibri"/>
            <family val="2"/>
            <scheme val="minor"/>
          </rPr>
          <t>Introduzca un codigo UNSPSC</t>
        </r>
      </text>
    </comment>
    <comment ref="B6138" authorId="2">
      <text>
        <r>
          <rPr>
            <sz val="11"/>
            <color theme="1"/>
            <rFont val="Calibri"/>
            <family val="2"/>
            <scheme val="minor"/>
          </rPr>
          <t>Descripción calculada automáticamente a partir de código del artículo</t>
        </r>
      </text>
    </comment>
    <comment ref="C6138" authorId="2">
      <text>
        <r>
          <rPr>
            <sz val="11"/>
            <color theme="1"/>
            <rFont val="Calibri"/>
            <family val="2"/>
            <scheme val="minor"/>
          </rPr>
          <t>Seleccione un valor de la lista</t>
        </r>
      </text>
    </comment>
    <comment ref="D6138" authorId="2">
      <text>
        <r>
          <rPr>
            <sz val="11"/>
            <color theme="1"/>
            <rFont val="Calibri"/>
            <family val="2"/>
            <scheme val="minor"/>
          </rPr>
          <t>Introduzca un número con dos decimales como máximo. Debe ser igual o mayor a la "Cantidad Real Consumida"</t>
        </r>
      </text>
    </comment>
    <comment ref="E6138" authorId="2">
      <text>
        <r>
          <rPr>
            <sz val="11"/>
            <color theme="1"/>
            <rFont val="Calibri"/>
            <family val="2"/>
            <scheme val="minor"/>
          </rPr>
          <t>Introduzca un número con dos decimales como máximo</t>
        </r>
      </text>
    </comment>
    <comment ref="F6138" authorId="2">
      <text>
        <r>
          <rPr>
            <sz val="11"/>
            <color theme="1"/>
            <rFont val="Calibri"/>
            <family val="2"/>
            <scheme val="minor"/>
          </rPr>
          <t>Monto calculado automáticamente por el sistema</t>
        </r>
      </text>
    </comment>
    <comment ref="A6144" authorId="2">
      <text>
        <r>
          <rPr>
            <sz val="11"/>
            <color theme="1"/>
            <rFont val="Calibri"/>
            <family val="2"/>
            <scheme val="minor"/>
          </rPr>
          <t>Introducir un texto con el nombre o referencia de la contratación</t>
        </r>
      </text>
    </comment>
    <comment ref="B6144" authorId="2">
      <text>
        <r>
          <rPr>
            <sz val="11"/>
            <color theme="1"/>
            <rFont val="Calibri"/>
            <family val="2"/>
            <scheme val="minor"/>
          </rPr>
          <t>Introduzca un texto con la finalidad de la contratación</t>
        </r>
      </text>
    </comment>
    <comment ref="C6144" authorId="2">
      <text>
        <r>
          <rPr>
            <sz val="11"/>
            <color theme="1"/>
            <rFont val="Calibri"/>
            <family val="2"/>
            <scheme val="minor"/>
          </rPr>
          <t>Seleccionar un valor del listado</t>
        </r>
      </text>
    </comment>
    <comment ref="D6144" authorId="2">
      <text>
        <r>
          <rPr>
            <sz val="11"/>
            <color theme="1"/>
            <rFont val="Calibri"/>
            <family val="2"/>
            <scheme val="minor"/>
          </rPr>
          <t>Seleccione el tipo de procedimiento</t>
        </r>
      </text>
    </comment>
    <comment ref="E6144" authorId="2">
      <text>
        <r>
          <rPr>
            <sz val="11"/>
            <color theme="1"/>
            <rFont val="Calibri"/>
            <family val="2"/>
            <scheme val="minor"/>
          </rPr>
          <t>Seleccione un valor de la lista</t>
        </r>
      </text>
    </comment>
    <comment ref="F6144" authorId="2">
      <text>
        <r>
          <rPr>
            <sz val="11"/>
            <color theme="1"/>
            <rFont val="Calibri"/>
            <family val="2"/>
            <scheme val="minor"/>
          </rPr>
          <t>Introduzca el código SNIP</t>
        </r>
      </text>
    </comment>
    <comment ref="C6145" authorId="2">
      <text>
        <r>
          <rPr>
            <sz val="11"/>
            <color theme="1"/>
            <rFont val="Calibri"/>
            <family val="2"/>
            <scheme val="minor"/>
          </rPr>
          <t>Introduzca la fecha de inicio del proceso, en formato dd-mm-aaaa</t>
        </r>
      </text>
    </comment>
    <comment ref="F61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6" authorId="2">
      <text/>
    </comment>
    <comment ref="C6147" authorId="2">
      <text>
        <r>
          <rPr>
            <sz val="11"/>
            <color theme="1"/>
            <rFont val="Calibri"/>
            <family val="2"/>
            <scheme val="minor"/>
          </rPr>
          <t>Introduzca la fecha prevista de adjudicación, en formato dd-mm-aaaa</t>
        </r>
      </text>
    </comment>
    <comment ref="F6147" authorId="2">
      <text/>
    </comment>
    <comment ref="F6148" authorId="2">
      <text/>
    </comment>
    <comment ref="A6150" authorId="2">
      <text>
        <r>
          <rPr>
            <sz val="11"/>
            <color theme="1"/>
            <rFont val="Calibri"/>
            <family val="2"/>
            <scheme val="minor"/>
          </rPr>
          <t>Introduzca un codigo UNSPSC</t>
        </r>
      </text>
    </comment>
    <comment ref="B6150" authorId="2">
      <text>
        <r>
          <rPr>
            <sz val="11"/>
            <color theme="1"/>
            <rFont val="Calibri"/>
            <family val="2"/>
            <scheme val="minor"/>
          </rPr>
          <t>Descripción calculada automáticamente a partir de código del artículo</t>
        </r>
      </text>
    </comment>
    <comment ref="C6150" authorId="2">
      <text>
        <r>
          <rPr>
            <sz val="11"/>
            <color theme="1"/>
            <rFont val="Calibri"/>
            <family val="2"/>
            <scheme val="minor"/>
          </rPr>
          <t>Seleccione un valor de la lista</t>
        </r>
      </text>
    </comment>
    <comment ref="D6150" authorId="2">
      <text>
        <r>
          <rPr>
            <sz val="11"/>
            <color theme="1"/>
            <rFont val="Calibri"/>
            <family val="2"/>
            <scheme val="minor"/>
          </rPr>
          <t>Introduzca un número con dos decimales como máximo. Debe ser igual o mayor a la "Cantidad Real Consumida"</t>
        </r>
      </text>
    </comment>
    <comment ref="E6150" authorId="2">
      <text>
        <r>
          <rPr>
            <sz val="11"/>
            <color theme="1"/>
            <rFont val="Calibri"/>
            <family val="2"/>
            <scheme val="minor"/>
          </rPr>
          <t>Introduzca un número con dos decimales como máximo</t>
        </r>
      </text>
    </comment>
    <comment ref="F6150" authorId="2">
      <text>
        <r>
          <rPr>
            <sz val="11"/>
            <color theme="1"/>
            <rFont val="Calibri"/>
            <family val="2"/>
            <scheme val="minor"/>
          </rPr>
          <t>Monto calculado automáticamente por el sistema</t>
        </r>
      </text>
    </comment>
    <comment ref="A6155" authorId="2">
      <text>
        <r>
          <rPr>
            <sz val="11"/>
            <color theme="1"/>
            <rFont val="Calibri"/>
            <family val="2"/>
            <scheme val="minor"/>
          </rPr>
          <t>Introducir un texto con el nombre o referencia de la contratación</t>
        </r>
      </text>
    </comment>
    <comment ref="B6155" authorId="2">
      <text>
        <r>
          <rPr>
            <sz val="11"/>
            <color theme="1"/>
            <rFont val="Calibri"/>
            <family val="2"/>
            <scheme val="minor"/>
          </rPr>
          <t>Introduzca un texto con la finalidad de la contratación</t>
        </r>
      </text>
    </comment>
    <comment ref="C6155" authorId="2">
      <text>
        <r>
          <rPr>
            <sz val="11"/>
            <color theme="1"/>
            <rFont val="Calibri"/>
            <family val="2"/>
            <scheme val="minor"/>
          </rPr>
          <t>Seleccionar un valor del listado</t>
        </r>
      </text>
    </comment>
    <comment ref="D6155" authorId="2">
      <text>
        <r>
          <rPr>
            <sz val="11"/>
            <color theme="1"/>
            <rFont val="Calibri"/>
            <family val="2"/>
            <scheme val="minor"/>
          </rPr>
          <t>Seleccione el tipo de procedimiento</t>
        </r>
      </text>
    </comment>
    <comment ref="E6155" authorId="2">
      <text>
        <r>
          <rPr>
            <sz val="11"/>
            <color theme="1"/>
            <rFont val="Calibri"/>
            <family val="2"/>
            <scheme val="minor"/>
          </rPr>
          <t>Seleccione un valor de la lista</t>
        </r>
      </text>
    </comment>
    <comment ref="F6155" authorId="2">
      <text>
        <r>
          <rPr>
            <sz val="11"/>
            <color theme="1"/>
            <rFont val="Calibri"/>
            <family val="2"/>
            <scheme val="minor"/>
          </rPr>
          <t>Introduzca el código SNIP</t>
        </r>
      </text>
    </comment>
    <comment ref="C6156" authorId="2">
      <text>
        <r>
          <rPr>
            <sz val="11"/>
            <color theme="1"/>
            <rFont val="Calibri"/>
            <family val="2"/>
            <scheme val="minor"/>
          </rPr>
          <t>Introduzca la fecha de inicio del proceso, en formato dd-mm-aaaa</t>
        </r>
      </text>
    </comment>
    <comment ref="F61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7" authorId="2">
      <text/>
    </comment>
    <comment ref="C6158" authorId="2">
      <text>
        <r>
          <rPr>
            <sz val="11"/>
            <color theme="1"/>
            <rFont val="Calibri"/>
            <family val="2"/>
            <scheme val="minor"/>
          </rPr>
          <t>Introduzca la fecha prevista de adjudicación, en formato dd-mm-aaaa</t>
        </r>
      </text>
    </comment>
    <comment ref="F6158" authorId="2">
      <text/>
    </comment>
    <comment ref="F6159" authorId="2">
      <text/>
    </comment>
    <comment ref="A6161" authorId="2">
      <text>
        <r>
          <rPr>
            <sz val="11"/>
            <color theme="1"/>
            <rFont val="Calibri"/>
            <family val="2"/>
            <scheme val="minor"/>
          </rPr>
          <t>Introduzca un codigo UNSPSC</t>
        </r>
      </text>
    </comment>
    <comment ref="B6161" authorId="2">
      <text>
        <r>
          <rPr>
            <sz val="11"/>
            <color theme="1"/>
            <rFont val="Calibri"/>
            <family val="2"/>
            <scheme val="minor"/>
          </rPr>
          <t>Descripción calculada automáticamente a partir de código del artículo</t>
        </r>
      </text>
    </comment>
    <comment ref="C6161" authorId="2">
      <text>
        <r>
          <rPr>
            <sz val="11"/>
            <color theme="1"/>
            <rFont val="Calibri"/>
            <family val="2"/>
            <scheme val="minor"/>
          </rPr>
          <t>Seleccione un valor de la lista</t>
        </r>
      </text>
    </comment>
    <comment ref="D6161" authorId="2">
      <text>
        <r>
          <rPr>
            <sz val="11"/>
            <color theme="1"/>
            <rFont val="Calibri"/>
            <family val="2"/>
            <scheme val="minor"/>
          </rPr>
          <t>Introduzca un número con dos decimales como máximo. Debe ser igual o mayor a la "Cantidad Real Consumida"</t>
        </r>
      </text>
    </comment>
    <comment ref="E6161" authorId="2">
      <text>
        <r>
          <rPr>
            <sz val="11"/>
            <color theme="1"/>
            <rFont val="Calibri"/>
            <family val="2"/>
            <scheme val="minor"/>
          </rPr>
          <t>Introduzca un número con dos decimales como máximo</t>
        </r>
      </text>
    </comment>
    <comment ref="F6161" authorId="2">
      <text>
        <r>
          <rPr>
            <sz val="11"/>
            <color theme="1"/>
            <rFont val="Calibri"/>
            <family val="2"/>
            <scheme val="minor"/>
          </rPr>
          <t>Monto calculado automáticamente por el sistema</t>
        </r>
      </text>
    </comment>
    <comment ref="A6166" authorId="2">
      <text>
        <r>
          <rPr>
            <sz val="11"/>
            <color theme="1"/>
            <rFont val="Calibri"/>
            <family val="2"/>
            <scheme val="minor"/>
          </rPr>
          <t>Introducir un texto con el nombre o referencia de la contratación</t>
        </r>
      </text>
    </comment>
    <comment ref="B6166" authorId="2">
      <text>
        <r>
          <rPr>
            <sz val="11"/>
            <color theme="1"/>
            <rFont val="Calibri"/>
            <family val="2"/>
            <scheme val="minor"/>
          </rPr>
          <t>Introduzca un texto con la finalidad de la contratación</t>
        </r>
      </text>
    </comment>
    <comment ref="C6166" authorId="2">
      <text>
        <r>
          <rPr>
            <sz val="11"/>
            <color theme="1"/>
            <rFont val="Calibri"/>
            <family val="2"/>
            <scheme val="minor"/>
          </rPr>
          <t>Seleccionar un valor del listado</t>
        </r>
      </text>
    </comment>
    <comment ref="D6166" authorId="2">
      <text>
        <r>
          <rPr>
            <sz val="11"/>
            <color theme="1"/>
            <rFont val="Calibri"/>
            <family val="2"/>
            <scheme val="minor"/>
          </rPr>
          <t>Seleccione el tipo de procedimiento</t>
        </r>
      </text>
    </comment>
    <comment ref="E6166" authorId="2">
      <text>
        <r>
          <rPr>
            <sz val="11"/>
            <color theme="1"/>
            <rFont val="Calibri"/>
            <family val="2"/>
            <scheme val="minor"/>
          </rPr>
          <t>Seleccione un valor de la lista</t>
        </r>
      </text>
    </comment>
    <comment ref="F6166" authorId="2">
      <text>
        <r>
          <rPr>
            <sz val="11"/>
            <color theme="1"/>
            <rFont val="Calibri"/>
            <family val="2"/>
            <scheme val="minor"/>
          </rPr>
          <t>Introduzca el código SNIP</t>
        </r>
      </text>
    </comment>
    <comment ref="C6167" authorId="2">
      <text>
        <r>
          <rPr>
            <sz val="11"/>
            <color theme="1"/>
            <rFont val="Calibri"/>
            <family val="2"/>
            <scheme val="minor"/>
          </rPr>
          <t>Introduzca la fecha de inicio del proceso, en formato dd-mm-aaaa</t>
        </r>
      </text>
    </comment>
    <comment ref="F61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8" authorId="2">
      <text/>
    </comment>
    <comment ref="C6169" authorId="2">
      <text>
        <r>
          <rPr>
            <sz val="11"/>
            <color theme="1"/>
            <rFont val="Calibri"/>
            <family val="2"/>
            <scheme val="minor"/>
          </rPr>
          <t>Introduzca la fecha prevista de adjudicación, en formato dd-mm-aaaa</t>
        </r>
      </text>
    </comment>
    <comment ref="F6169" authorId="2">
      <text/>
    </comment>
    <comment ref="F6170" authorId="2">
      <text/>
    </comment>
    <comment ref="A6172" authorId="2">
      <text>
        <r>
          <rPr>
            <sz val="11"/>
            <color theme="1"/>
            <rFont val="Calibri"/>
            <family val="2"/>
            <scheme val="minor"/>
          </rPr>
          <t>Introduzca un codigo UNSPSC</t>
        </r>
      </text>
    </comment>
    <comment ref="B6172" authorId="2">
      <text>
        <r>
          <rPr>
            <sz val="11"/>
            <color theme="1"/>
            <rFont val="Calibri"/>
            <family val="2"/>
            <scheme val="minor"/>
          </rPr>
          <t>Descripción calculada automáticamente a partir de código del artículo</t>
        </r>
      </text>
    </comment>
    <comment ref="C6172" authorId="2">
      <text>
        <r>
          <rPr>
            <sz val="11"/>
            <color theme="1"/>
            <rFont val="Calibri"/>
            <family val="2"/>
            <scheme val="minor"/>
          </rPr>
          <t>Seleccione un valor de la lista</t>
        </r>
      </text>
    </comment>
    <comment ref="D6172" authorId="2">
      <text>
        <r>
          <rPr>
            <sz val="11"/>
            <color theme="1"/>
            <rFont val="Calibri"/>
            <family val="2"/>
            <scheme val="minor"/>
          </rPr>
          <t>Introduzca un número con dos decimales como máximo. Debe ser igual o mayor a la "Cantidad Real Consumida"</t>
        </r>
      </text>
    </comment>
    <comment ref="E6172" authorId="2">
      <text>
        <r>
          <rPr>
            <sz val="11"/>
            <color theme="1"/>
            <rFont val="Calibri"/>
            <family val="2"/>
            <scheme val="minor"/>
          </rPr>
          <t>Introduzca un número con dos decimales como máximo</t>
        </r>
      </text>
    </comment>
    <comment ref="F6172" authorId="2">
      <text>
        <r>
          <rPr>
            <sz val="11"/>
            <color theme="1"/>
            <rFont val="Calibri"/>
            <family val="2"/>
            <scheme val="minor"/>
          </rPr>
          <t>Monto calculado automáticamente por el sistema</t>
        </r>
      </text>
    </comment>
    <comment ref="A6177" authorId="2">
      <text>
        <r>
          <rPr>
            <sz val="11"/>
            <color theme="1"/>
            <rFont val="Calibri"/>
            <family val="2"/>
            <scheme val="minor"/>
          </rPr>
          <t>Introducir un texto con el nombre o referencia de la contratación</t>
        </r>
      </text>
    </comment>
    <comment ref="B6177" authorId="2">
      <text>
        <r>
          <rPr>
            <sz val="11"/>
            <color theme="1"/>
            <rFont val="Calibri"/>
            <family val="2"/>
            <scheme val="minor"/>
          </rPr>
          <t>Introduzca un texto con la finalidad de la contratación</t>
        </r>
      </text>
    </comment>
    <comment ref="C6177" authorId="2">
      <text>
        <r>
          <rPr>
            <sz val="11"/>
            <color theme="1"/>
            <rFont val="Calibri"/>
            <family val="2"/>
            <scheme val="minor"/>
          </rPr>
          <t>Seleccionar un valor del listado</t>
        </r>
      </text>
    </comment>
    <comment ref="D6177" authorId="2">
      <text>
        <r>
          <rPr>
            <sz val="11"/>
            <color theme="1"/>
            <rFont val="Calibri"/>
            <family val="2"/>
            <scheme val="minor"/>
          </rPr>
          <t>Seleccione el tipo de procedimiento</t>
        </r>
      </text>
    </comment>
    <comment ref="E6177" authorId="2">
      <text>
        <r>
          <rPr>
            <sz val="11"/>
            <color theme="1"/>
            <rFont val="Calibri"/>
            <family val="2"/>
            <scheme val="minor"/>
          </rPr>
          <t>Seleccione un valor de la lista</t>
        </r>
      </text>
    </comment>
    <comment ref="F6177" authorId="2">
      <text>
        <r>
          <rPr>
            <sz val="11"/>
            <color theme="1"/>
            <rFont val="Calibri"/>
            <family val="2"/>
            <scheme val="minor"/>
          </rPr>
          <t>Introduzca el código SNIP</t>
        </r>
      </text>
    </comment>
    <comment ref="C6178" authorId="2">
      <text>
        <r>
          <rPr>
            <sz val="11"/>
            <color theme="1"/>
            <rFont val="Calibri"/>
            <family val="2"/>
            <scheme val="minor"/>
          </rPr>
          <t>Introduzca la fecha de inicio del proceso, en formato dd-mm-aaaa</t>
        </r>
      </text>
    </comment>
    <comment ref="F61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9" authorId="2">
      <text/>
    </comment>
    <comment ref="C6180" authorId="2">
      <text>
        <r>
          <rPr>
            <sz val="11"/>
            <color theme="1"/>
            <rFont val="Calibri"/>
            <family val="2"/>
            <scheme val="minor"/>
          </rPr>
          <t>Introduzca la fecha prevista de adjudicación, en formato dd-mm-aaaa</t>
        </r>
      </text>
    </comment>
    <comment ref="F6180" authorId="2">
      <text/>
    </comment>
    <comment ref="F6181" authorId="2">
      <text/>
    </comment>
    <comment ref="A6183" authorId="2">
      <text>
        <r>
          <rPr>
            <sz val="11"/>
            <color theme="1"/>
            <rFont val="Calibri"/>
            <family val="2"/>
            <scheme val="minor"/>
          </rPr>
          <t>Introduzca un codigo UNSPSC</t>
        </r>
      </text>
    </comment>
    <comment ref="B6183" authorId="2">
      <text>
        <r>
          <rPr>
            <sz val="11"/>
            <color theme="1"/>
            <rFont val="Calibri"/>
            <family val="2"/>
            <scheme val="minor"/>
          </rPr>
          <t>Descripción calculada automáticamente a partir de código del artículo</t>
        </r>
      </text>
    </comment>
    <comment ref="C6183" authorId="2">
      <text>
        <r>
          <rPr>
            <sz val="11"/>
            <color theme="1"/>
            <rFont val="Calibri"/>
            <family val="2"/>
            <scheme val="minor"/>
          </rPr>
          <t>Seleccione un valor de la lista</t>
        </r>
      </text>
    </comment>
    <comment ref="D6183" authorId="2">
      <text>
        <r>
          <rPr>
            <sz val="11"/>
            <color theme="1"/>
            <rFont val="Calibri"/>
            <family val="2"/>
            <scheme val="minor"/>
          </rPr>
          <t>Introduzca un número con dos decimales como máximo. Debe ser igual o mayor a la "Cantidad Real Consumida"</t>
        </r>
      </text>
    </comment>
    <comment ref="E6183" authorId="2">
      <text>
        <r>
          <rPr>
            <sz val="11"/>
            <color theme="1"/>
            <rFont val="Calibri"/>
            <family val="2"/>
            <scheme val="minor"/>
          </rPr>
          <t>Introduzca un número con dos decimales como máximo</t>
        </r>
      </text>
    </comment>
    <comment ref="F6183" authorId="2">
      <text>
        <r>
          <rPr>
            <sz val="11"/>
            <color theme="1"/>
            <rFont val="Calibri"/>
            <family val="2"/>
            <scheme val="minor"/>
          </rPr>
          <t>Monto calculado automáticamente por el sistema</t>
        </r>
      </text>
    </comment>
    <comment ref="A6203" authorId="2">
      <text>
        <r>
          <rPr>
            <sz val="11"/>
            <color theme="1"/>
            <rFont val="Calibri"/>
            <family val="2"/>
            <scheme val="minor"/>
          </rPr>
          <t>Introducir un texto con el nombre o referencia de la contratación</t>
        </r>
      </text>
    </comment>
    <comment ref="B6203" authorId="2">
      <text>
        <r>
          <rPr>
            <sz val="11"/>
            <color theme="1"/>
            <rFont val="Calibri"/>
            <family val="2"/>
            <scheme val="minor"/>
          </rPr>
          <t>Introduzca un texto con la finalidad de la contratación</t>
        </r>
      </text>
    </comment>
    <comment ref="C6203" authorId="2">
      <text>
        <r>
          <rPr>
            <sz val="11"/>
            <color theme="1"/>
            <rFont val="Calibri"/>
            <family val="2"/>
            <scheme val="minor"/>
          </rPr>
          <t>Seleccionar un valor del listado</t>
        </r>
      </text>
    </comment>
    <comment ref="D6203" authorId="2">
      <text>
        <r>
          <rPr>
            <sz val="11"/>
            <color theme="1"/>
            <rFont val="Calibri"/>
            <family val="2"/>
            <scheme val="minor"/>
          </rPr>
          <t>Seleccione el tipo de procedimiento</t>
        </r>
      </text>
    </comment>
    <comment ref="E6203" authorId="2">
      <text>
        <r>
          <rPr>
            <sz val="11"/>
            <color theme="1"/>
            <rFont val="Calibri"/>
            <family val="2"/>
            <scheme val="minor"/>
          </rPr>
          <t>Seleccione un valor de la lista</t>
        </r>
      </text>
    </comment>
    <comment ref="F6203" authorId="2">
      <text>
        <r>
          <rPr>
            <sz val="11"/>
            <color theme="1"/>
            <rFont val="Calibri"/>
            <family val="2"/>
            <scheme val="minor"/>
          </rPr>
          <t>Introduzca el código SNIP</t>
        </r>
      </text>
    </comment>
    <comment ref="C6204" authorId="2">
      <text>
        <r>
          <rPr>
            <sz val="11"/>
            <color theme="1"/>
            <rFont val="Calibri"/>
            <family val="2"/>
            <scheme val="minor"/>
          </rPr>
          <t>Introduzca la fecha de inicio del proceso, en formato dd-mm-aaaa</t>
        </r>
      </text>
    </comment>
    <comment ref="F62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5" authorId="2">
      <text/>
    </comment>
    <comment ref="C6206" authorId="2">
      <text>
        <r>
          <rPr>
            <sz val="11"/>
            <color theme="1"/>
            <rFont val="Calibri"/>
            <family val="2"/>
            <scheme val="minor"/>
          </rPr>
          <t>Introduzca la fecha prevista de adjudicación, en formato dd-mm-aaaa</t>
        </r>
      </text>
    </comment>
    <comment ref="F6206" authorId="2">
      <text/>
    </comment>
    <comment ref="F6207" authorId="2">
      <text/>
    </comment>
    <comment ref="A6209" authorId="2">
      <text>
        <r>
          <rPr>
            <sz val="11"/>
            <color theme="1"/>
            <rFont val="Calibri"/>
            <family val="2"/>
            <scheme val="minor"/>
          </rPr>
          <t>Introduzca un codigo UNSPSC</t>
        </r>
      </text>
    </comment>
    <comment ref="B6209" authorId="2">
      <text>
        <r>
          <rPr>
            <sz val="11"/>
            <color theme="1"/>
            <rFont val="Calibri"/>
            <family val="2"/>
            <scheme val="minor"/>
          </rPr>
          <t>Descripción calculada automáticamente a partir de código del artículo</t>
        </r>
      </text>
    </comment>
    <comment ref="C6209" authorId="2">
      <text>
        <r>
          <rPr>
            <sz val="11"/>
            <color theme="1"/>
            <rFont val="Calibri"/>
            <family val="2"/>
            <scheme val="minor"/>
          </rPr>
          <t>Seleccione un valor de la lista</t>
        </r>
      </text>
    </comment>
    <comment ref="D6209" authorId="2">
      <text>
        <r>
          <rPr>
            <sz val="11"/>
            <color theme="1"/>
            <rFont val="Calibri"/>
            <family val="2"/>
            <scheme val="minor"/>
          </rPr>
          <t>Introduzca un número con dos decimales como máximo. Debe ser igual o mayor a la "Cantidad Real Consumida"</t>
        </r>
      </text>
    </comment>
    <comment ref="E6209" authorId="2">
      <text>
        <r>
          <rPr>
            <sz val="11"/>
            <color theme="1"/>
            <rFont val="Calibri"/>
            <family val="2"/>
            <scheme val="minor"/>
          </rPr>
          <t>Introduzca un número con dos decimales como máximo</t>
        </r>
      </text>
    </comment>
    <comment ref="F6209" authorId="2">
      <text>
        <r>
          <rPr>
            <sz val="11"/>
            <color theme="1"/>
            <rFont val="Calibri"/>
            <family val="2"/>
            <scheme val="minor"/>
          </rPr>
          <t>Monto calculado automáticamente por el sistema</t>
        </r>
      </text>
    </comment>
    <comment ref="A6224" authorId="2">
      <text>
        <r>
          <rPr>
            <sz val="11"/>
            <color theme="1"/>
            <rFont val="Calibri"/>
            <family val="2"/>
            <scheme val="minor"/>
          </rPr>
          <t>Introducir un texto con el nombre o referencia de la contratación</t>
        </r>
      </text>
    </comment>
    <comment ref="B6224" authorId="2">
      <text>
        <r>
          <rPr>
            <sz val="11"/>
            <color theme="1"/>
            <rFont val="Calibri"/>
            <family val="2"/>
            <scheme val="minor"/>
          </rPr>
          <t>Introduzca un texto con la finalidad de la contratación</t>
        </r>
      </text>
    </comment>
    <comment ref="C6224" authorId="2">
      <text>
        <r>
          <rPr>
            <sz val="11"/>
            <color theme="1"/>
            <rFont val="Calibri"/>
            <family val="2"/>
            <scheme val="minor"/>
          </rPr>
          <t>Seleccionar un valor del listado</t>
        </r>
      </text>
    </comment>
    <comment ref="D6224" authorId="2">
      <text>
        <r>
          <rPr>
            <sz val="11"/>
            <color theme="1"/>
            <rFont val="Calibri"/>
            <family val="2"/>
            <scheme val="minor"/>
          </rPr>
          <t>Seleccione el tipo de procedimiento</t>
        </r>
      </text>
    </comment>
    <comment ref="E6224" authorId="2">
      <text>
        <r>
          <rPr>
            <sz val="11"/>
            <color theme="1"/>
            <rFont val="Calibri"/>
            <family val="2"/>
            <scheme val="minor"/>
          </rPr>
          <t>Seleccione un valor de la lista</t>
        </r>
      </text>
    </comment>
    <comment ref="F6224" authorId="2">
      <text>
        <r>
          <rPr>
            <sz val="11"/>
            <color theme="1"/>
            <rFont val="Calibri"/>
            <family val="2"/>
            <scheme val="minor"/>
          </rPr>
          <t>Introduzca el código SNIP</t>
        </r>
      </text>
    </comment>
    <comment ref="C6225" authorId="2">
      <text>
        <r>
          <rPr>
            <sz val="11"/>
            <color theme="1"/>
            <rFont val="Calibri"/>
            <family val="2"/>
            <scheme val="minor"/>
          </rPr>
          <t>Introduzca la fecha de inicio del proceso, en formato dd-mm-aaaa</t>
        </r>
      </text>
    </comment>
    <comment ref="F62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6" authorId="2">
      <text/>
    </comment>
    <comment ref="C6227" authorId="2">
      <text>
        <r>
          <rPr>
            <sz val="11"/>
            <color theme="1"/>
            <rFont val="Calibri"/>
            <family val="2"/>
            <scheme val="minor"/>
          </rPr>
          <t>Introduzca la fecha prevista de adjudicación, en formato dd-mm-aaaa</t>
        </r>
      </text>
    </comment>
    <comment ref="F6227" authorId="2">
      <text/>
    </comment>
    <comment ref="F6228" authorId="2">
      <text/>
    </comment>
    <comment ref="A6230" authorId="2">
      <text>
        <r>
          <rPr>
            <sz val="11"/>
            <color theme="1"/>
            <rFont val="Calibri"/>
            <family val="2"/>
            <scheme val="minor"/>
          </rPr>
          <t>Introduzca un codigo UNSPSC</t>
        </r>
      </text>
    </comment>
    <comment ref="B6230" authorId="2">
      <text>
        <r>
          <rPr>
            <sz val="11"/>
            <color theme="1"/>
            <rFont val="Calibri"/>
            <family val="2"/>
            <scheme val="minor"/>
          </rPr>
          <t>Descripción calculada automáticamente a partir de código del artículo</t>
        </r>
      </text>
    </comment>
    <comment ref="C6230" authorId="2">
      <text>
        <r>
          <rPr>
            <sz val="11"/>
            <color theme="1"/>
            <rFont val="Calibri"/>
            <family val="2"/>
            <scheme val="minor"/>
          </rPr>
          <t>Seleccione un valor de la lista</t>
        </r>
      </text>
    </comment>
    <comment ref="D6230" authorId="2">
      <text>
        <r>
          <rPr>
            <sz val="11"/>
            <color theme="1"/>
            <rFont val="Calibri"/>
            <family val="2"/>
            <scheme val="minor"/>
          </rPr>
          <t>Introduzca un número con dos decimales como máximo. Debe ser igual o mayor a la "Cantidad Real Consumida"</t>
        </r>
      </text>
    </comment>
    <comment ref="E6230" authorId="2">
      <text>
        <r>
          <rPr>
            <sz val="11"/>
            <color theme="1"/>
            <rFont val="Calibri"/>
            <family val="2"/>
            <scheme val="minor"/>
          </rPr>
          <t>Introduzca un número con dos decimales como máximo</t>
        </r>
      </text>
    </comment>
    <comment ref="F6230" authorId="2">
      <text>
        <r>
          <rPr>
            <sz val="11"/>
            <color theme="1"/>
            <rFont val="Calibri"/>
            <family val="2"/>
            <scheme val="minor"/>
          </rPr>
          <t>Monto calculado automáticamente por el sistema</t>
        </r>
      </text>
    </comment>
    <comment ref="A6236" authorId="2">
      <text>
        <r>
          <rPr>
            <sz val="11"/>
            <color theme="1"/>
            <rFont val="Calibri"/>
            <family val="2"/>
            <scheme val="minor"/>
          </rPr>
          <t>Introducir un texto con el nombre o referencia de la contratación</t>
        </r>
      </text>
    </comment>
    <comment ref="B6236" authorId="2">
      <text>
        <r>
          <rPr>
            <sz val="11"/>
            <color theme="1"/>
            <rFont val="Calibri"/>
            <family val="2"/>
            <scheme val="minor"/>
          </rPr>
          <t>Introduzca un texto con la finalidad de la contratación</t>
        </r>
      </text>
    </comment>
    <comment ref="C6236" authorId="2">
      <text>
        <r>
          <rPr>
            <sz val="11"/>
            <color theme="1"/>
            <rFont val="Calibri"/>
            <family val="2"/>
            <scheme val="minor"/>
          </rPr>
          <t>Seleccionar un valor del listado</t>
        </r>
      </text>
    </comment>
    <comment ref="D6236" authorId="2">
      <text>
        <r>
          <rPr>
            <sz val="11"/>
            <color theme="1"/>
            <rFont val="Calibri"/>
            <family val="2"/>
            <scheme val="minor"/>
          </rPr>
          <t>Seleccione el tipo de procedimiento</t>
        </r>
      </text>
    </comment>
    <comment ref="E6236" authorId="2">
      <text>
        <r>
          <rPr>
            <sz val="11"/>
            <color theme="1"/>
            <rFont val="Calibri"/>
            <family val="2"/>
            <scheme val="minor"/>
          </rPr>
          <t>Seleccione un valor de la lista</t>
        </r>
      </text>
    </comment>
    <comment ref="F6236" authorId="2">
      <text>
        <r>
          <rPr>
            <sz val="11"/>
            <color theme="1"/>
            <rFont val="Calibri"/>
            <family val="2"/>
            <scheme val="minor"/>
          </rPr>
          <t>Introduzca el código SNIP</t>
        </r>
      </text>
    </comment>
    <comment ref="C6237" authorId="2">
      <text>
        <r>
          <rPr>
            <sz val="11"/>
            <color theme="1"/>
            <rFont val="Calibri"/>
            <family val="2"/>
            <scheme val="minor"/>
          </rPr>
          <t>Introduzca la fecha de inicio del proceso, en formato dd-mm-aaaa</t>
        </r>
      </text>
    </comment>
    <comment ref="F62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8" authorId="2">
      <text/>
    </comment>
    <comment ref="C6239" authorId="2">
      <text>
        <r>
          <rPr>
            <sz val="11"/>
            <color theme="1"/>
            <rFont val="Calibri"/>
            <family val="2"/>
            <scheme val="minor"/>
          </rPr>
          <t>Introduzca la fecha prevista de adjudicación, en formato dd-mm-aaaa</t>
        </r>
      </text>
    </comment>
    <comment ref="F6239" authorId="2">
      <text/>
    </comment>
    <comment ref="F6240" authorId="2">
      <text/>
    </comment>
    <comment ref="A6242" authorId="2">
      <text>
        <r>
          <rPr>
            <sz val="11"/>
            <color theme="1"/>
            <rFont val="Calibri"/>
            <family val="2"/>
            <scheme val="minor"/>
          </rPr>
          <t>Introduzca un codigo UNSPSC</t>
        </r>
      </text>
    </comment>
    <comment ref="B6242" authorId="2">
      <text>
        <r>
          <rPr>
            <sz val="11"/>
            <color theme="1"/>
            <rFont val="Calibri"/>
            <family val="2"/>
            <scheme val="minor"/>
          </rPr>
          <t>Descripción calculada automáticamente a partir de código del artículo</t>
        </r>
      </text>
    </comment>
    <comment ref="C6242" authorId="2">
      <text>
        <r>
          <rPr>
            <sz val="11"/>
            <color theme="1"/>
            <rFont val="Calibri"/>
            <family val="2"/>
            <scheme val="minor"/>
          </rPr>
          <t>Seleccione un valor de la lista</t>
        </r>
      </text>
    </comment>
    <comment ref="D6242" authorId="2">
      <text>
        <r>
          <rPr>
            <sz val="11"/>
            <color theme="1"/>
            <rFont val="Calibri"/>
            <family val="2"/>
            <scheme val="minor"/>
          </rPr>
          <t>Introduzca un número con dos decimales como máximo. Debe ser igual o mayor a la "Cantidad Real Consumida"</t>
        </r>
      </text>
    </comment>
    <comment ref="E6242" authorId="2">
      <text>
        <r>
          <rPr>
            <sz val="11"/>
            <color theme="1"/>
            <rFont val="Calibri"/>
            <family val="2"/>
            <scheme val="minor"/>
          </rPr>
          <t>Introduzca un número con dos decimales como máximo</t>
        </r>
      </text>
    </comment>
    <comment ref="F6242" authorId="2">
      <text>
        <r>
          <rPr>
            <sz val="11"/>
            <color theme="1"/>
            <rFont val="Calibri"/>
            <family val="2"/>
            <scheme val="minor"/>
          </rPr>
          <t>Monto calculado automáticamente por el sistema</t>
        </r>
      </text>
    </comment>
    <comment ref="A6248" authorId="2">
      <text>
        <r>
          <rPr>
            <sz val="11"/>
            <color theme="1"/>
            <rFont val="Calibri"/>
            <family val="2"/>
            <scheme val="minor"/>
          </rPr>
          <t>Introducir un texto con el nombre o referencia de la contratación</t>
        </r>
      </text>
    </comment>
    <comment ref="B6248" authorId="2">
      <text>
        <r>
          <rPr>
            <sz val="11"/>
            <color theme="1"/>
            <rFont val="Calibri"/>
            <family val="2"/>
            <scheme val="minor"/>
          </rPr>
          <t>Introduzca un texto con la finalidad de la contratación</t>
        </r>
      </text>
    </comment>
    <comment ref="C6248" authorId="2">
      <text>
        <r>
          <rPr>
            <sz val="11"/>
            <color theme="1"/>
            <rFont val="Calibri"/>
            <family val="2"/>
            <scheme val="minor"/>
          </rPr>
          <t>Seleccionar un valor del listado</t>
        </r>
      </text>
    </comment>
    <comment ref="D6248" authorId="2">
      <text>
        <r>
          <rPr>
            <sz val="11"/>
            <color theme="1"/>
            <rFont val="Calibri"/>
            <family val="2"/>
            <scheme val="minor"/>
          </rPr>
          <t>Seleccione el tipo de procedimiento</t>
        </r>
      </text>
    </comment>
    <comment ref="E6248" authorId="2">
      <text>
        <r>
          <rPr>
            <sz val="11"/>
            <color theme="1"/>
            <rFont val="Calibri"/>
            <family val="2"/>
            <scheme val="minor"/>
          </rPr>
          <t>Seleccione un valor de la lista</t>
        </r>
      </text>
    </comment>
    <comment ref="F6248" authorId="2">
      <text>
        <r>
          <rPr>
            <sz val="11"/>
            <color theme="1"/>
            <rFont val="Calibri"/>
            <family val="2"/>
            <scheme val="minor"/>
          </rPr>
          <t>Introduzca el código SNIP</t>
        </r>
      </text>
    </comment>
    <comment ref="C6249" authorId="2">
      <text>
        <r>
          <rPr>
            <sz val="11"/>
            <color theme="1"/>
            <rFont val="Calibri"/>
            <family val="2"/>
            <scheme val="minor"/>
          </rPr>
          <t>Introduzca la fecha de inicio del proceso, en formato dd-mm-aaaa</t>
        </r>
      </text>
    </comment>
    <comment ref="F624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0" authorId="2">
      <text/>
    </comment>
    <comment ref="C6251" authorId="2">
      <text>
        <r>
          <rPr>
            <sz val="11"/>
            <color theme="1"/>
            <rFont val="Calibri"/>
            <family val="2"/>
            <scheme val="minor"/>
          </rPr>
          <t>Introduzca la fecha prevista de adjudicación, en formato dd-mm-aaaa</t>
        </r>
      </text>
    </comment>
    <comment ref="F6251" authorId="2">
      <text/>
    </comment>
    <comment ref="F6252" authorId="2">
      <text/>
    </comment>
    <comment ref="A6254" authorId="2">
      <text>
        <r>
          <rPr>
            <sz val="11"/>
            <color theme="1"/>
            <rFont val="Calibri"/>
            <family val="2"/>
            <scheme val="minor"/>
          </rPr>
          <t>Introduzca un codigo UNSPSC</t>
        </r>
      </text>
    </comment>
    <comment ref="B6254" authorId="2">
      <text>
        <r>
          <rPr>
            <sz val="11"/>
            <color theme="1"/>
            <rFont val="Calibri"/>
            <family val="2"/>
            <scheme val="minor"/>
          </rPr>
          <t>Descripción calculada automáticamente a partir de código del artículo</t>
        </r>
      </text>
    </comment>
    <comment ref="C6254" authorId="2">
      <text>
        <r>
          <rPr>
            <sz val="11"/>
            <color theme="1"/>
            <rFont val="Calibri"/>
            <family val="2"/>
            <scheme val="minor"/>
          </rPr>
          <t>Seleccione un valor de la lista</t>
        </r>
      </text>
    </comment>
    <comment ref="D6254" authorId="2">
      <text>
        <r>
          <rPr>
            <sz val="11"/>
            <color theme="1"/>
            <rFont val="Calibri"/>
            <family val="2"/>
            <scheme val="minor"/>
          </rPr>
          <t>Introduzca un número con dos decimales como máximo. Debe ser igual o mayor a la "Cantidad Real Consumida"</t>
        </r>
      </text>
    </comment>
    <comment ref="E6254" authorId="2">
      <text>
        <r>
          <rPr>
            <sz val="11"/>
            <color theme="1"/>
            <rFont val="Calibri"/>
            <family val="2"/>
            <scheme val="minor"/>
          </rPr>
          <t>Introduzca un número con dos decimales como máximo</t>
        </r>
      </text>
    </comment>
    <comment ref="F6254" authorId="2">
      <text>
        <r>
          <rPr>
            <sz val="11"/>
            <color theme="1"/>
            <rFont val="Calibri"/>
            <family val="2"/>
            <scheme val="minor"/>
          </rPr>
          <t>Monto calculado automáticamente por el sistema</t>
        </r>
      </text>
    </comment>
    <comment ref="A6259" authorId="2">
      <text>
        <r>
          <rPr>
            <sz val="11"/>
            <color theme="1"/>
            <rFont val="Calibri"/>
            <family val="2"/>
            <scheme val="minor"/>
          </rPr>
          <t>Introducir un texto con el nombre o referencia de la contratación</t>
        </r>
      </text>
    </comment>
    <comment ref="B6259" authorId="2">
      <text>
        <r>
          <rPr>
            <sz val="11"/>
            <color theme="1"/>
            <rFont val="Calibri"/>
            <family val="2"/>
            <scheme val="minor"/>
          </rPr>
          <t>Introduzca un texto con la finalidad de la contratación</t>
        </r>
      </text>
    </comment>
    <comment ref="C6259" authorId="2">
      <text>
        <r>
          <rPr>
            <sz val="11"/>
            <color theme="1"/>
            <rFont val="Calibri"/>
            <family val="2"/>
            <scheme val="minor"/>
          </rPr>
          <t>Seleccionar un valor del listado</t>
        </r>
      </text>
    </comment>
    <comment ref="D6259" authorId="2">
      <text>
        <r>
          <rPr>
            <sz val="11"/>
            <color theme="1"/>
            <rFont val="Calibri"/>
            <family val="2"/>
            <scheme val="minor"/>
          </rPr>
          <t>Seleccione el tipo de procedimiento</t>
        </r>
      </text>
    </comment>
    <comment ref="E6259" authorId="2">
      <text>
        <r>
          <rPr>
            <sz val="11"/>
            <color theme="1"/>
            <rFont val="Calibri"/>
            <family val="2"/>
            <scheme val="minor"/>
          </rPr>
          <t>Seleccione un valor de la lista</t>
        </r>
      </text>
    </comment>
    <comment ref="F6259" authorId="2">
      <text>
        <r>
          <rPr>
            <sz val="11"/>
            <color theme="1"/>
            <rFont val="Calibri"/>
            <family val="2"/>
            <scheme val="minor"/>
          </rPr>
          <t>Introduzca el código SNIP</t>
        </r>
      </text>
    </comment>
    <comment ref="C6260" authorId="2">
      <text>
        <r>
          <rPr>
            <sz val="11"/>
            <color theme="1"/>
            <rFont val="Calibri"/>
            <family val="2"/>
            <scheme val="minor"/>
          </rPr>
          <t>Introduzca la fecha de inicio del proceso, en formato dd-mm-aaaa</t>
        </r>
      </text>
    </comment>
    <comment ref="F62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1" authorId="2">
      <text/>
    </comment>
    <comment ref="C6262" authorId="2">
      <text>
        <r>
          <rPr>
            <sz val="11"/>
            <color theme="1"/>
            <rFont val="Calibri"/>
            <family val="2"/>
            <scheme val="minor"/>
          </rPr>
          <t>Introduzca la fecha prevista de adjudicación, en formato dd-mm-aaaa</t>
        </r>
      </text>
    </comment>
    <comment ref="F6262" authorId="2">
      <text/>
    </comment>
    <comment ref="F6263" authorId="2">
      <text/>
    </comment>
    <comment ref="A6265" authorId="2">
      <text>
        <r>
          <rPr>
            <sz val="11"/>
            <color theme="1"/>
            <rFont val="Calibri"/>
            <family val="2"/>
            <scheme val="minor"/>
          </rPr>
          <t>Introduzca un codigo UNSPSC</t>
        </r>
      </text>
    </comment>
    <comment ref="B6265" authorId="2">
      <text>
        <r>
          <rPr>
            <sz val="11"/>
            <color theme="1"/>
            <rFont val="Calibri"/>
            <family val="2"/>
            <scheme val="minor"/>
          </rPr>
          <t>Descripción calculada automáticamente a partir de código del artículo</t>
        </r>
      </text>
    </comment>
    <comment ref="C6265" authorId="2">
      <text>
        <r>
          <rPr>
            <sz val="11"/>
            <color theme="1"/>
            <rFont val="Calibri"/>
            <family val="2"/>
            <scheme val="minor"/>
          </rPr>
          <t>Seleccione un valor de la lista</t>
        </r>
      </text>
    </comment>
    <comment ref="D6265" authorId="2">
      <text>
        <r>
          <rPr>
            <sz val="11"/>
            <color theme="1"/>
            <rFont val="Calibri"/>
            <family val="2"/>
            <scheme val="minor"/>
          </rPr>
          <t>Introduzca un número con dos decimales como máximo. Debe ser igual o mayor a la "Cantidad Real Consumida"</t>
        </r>
      </text>
    </comment>
    <comment ref="E6265" authorId="2">
      <text>
        <r>
          <rPr>
            <sz val="11"/>
            <color theme="1"/>
            <rFont val="Calibri"/>
            <family val="2"/>
            <scheme val="minor"/>
          </rPr>
          <t>Introduzca un número con dos decimales como máximo</t>
        </r>
      </text>
    </comment>
    <comment ref="F6265" authorId="2">
      <text>
        <r>
          <rPr>
            <sz val="11"/>
            <color theme="1"/>
            <rFont val="Calibri"/>
            <family val="2"/>
            <scheme val="minor"/>
          </rPr>
          <t>Monto calculado automáticamente por el sistema</t>
        </r>
      </text>
    </comment>
    <comment ref="A6270" authorId="2">
      <text>
        <r>
          <rPr>
            <sz val="11"/>
            <color theme="1"/>
            <rFont val="Calibri"/>
            <family val="2"/>
            <scheme val="minor"/>
          </rPr>
          <t>Introducir un texto con el nombre o referencia de la contratación</t>
        </r>
      </text>
    </comment>
    <comment ref="B6270" authorId="2">
      <text>
        <r>
          <rPr>
            <sz val="11"/>
            <color theme="1"/>
            <rFont val="Calibri"/>
            <family val="2"/>
            <scheme val="minor"/>
          </rPr>
          <t>Introduzca un texto con la finalidad de la contratación</t>
        </r>
      </text>
    </comment>
    <comment ref="C6270" authorId="2">
      <text>
        <r>
          <rPr>
            <sz val="11"/>
            <color theme="1"/>
            <rFont val="Calibri"/>
            <family val="2"/>
            <scheme val="minor"/>
          </rPr>
          <t>Seleccionar un valor del listado</t>
        </r>
      </text>
    </comment>
    <comment ref="D6270" authorId="2">
      <text>
        <r>
          <rPr>
            <sz val="11"/>
            <color theme="1"/>
            <rFont val="Calibri"/>
            <family val="2"/>
            <scheme val="minor"/>
          </rPr>
          <t>Seleccione el tipo de procedimiento</t>
        </r>
      </text>
    </comment>
    <comment ref="E6270" authorId="2">
      <text>
        <r>
          <rPr>
            <sz val="11"/>
            <color theme="1"/>
            <rFont val="Calibri"/>
            <family val="2"/>
            <scheme val="minor"/>
          </rPr>
          <t>Seleccione un valor de la lista</t>
        </r>
      </text>
    </comment>
    <comment ref="F6270" authorId="2">
      <text>
        <r>
          <rPr>
            <sz val="11"/>
            <color theme="1"/>
            <rFont val="Calibri"/>
            <family val="2"/>
            <scheme val="minor"/>
          </rPr>
          <t>Introduzca el código SNIP</t>
        </r>
      </text>
    </comment>
    <comment ref="C6271" authorId="2">
      <text>
        <r>
          <rPr>
            <sz val="11"/>
            <color theme="1"/>
            <rFont val="Calibri"/>
            <family val="2"/>
            <scheme val="minor"/>
          </rPr>
          <t>Introduzca la fecha de inicio del proceso, en formato dd-mm-aaaa</t>
        </r>
      </text>
    </comment>
    <comment ref="F62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2" authorId="2">
      <text/>
    </comment>
    <comment ref="C6273" authorId="2">
      <text>
        <r>
          <rPr>
            <sz val="11"/>
            <color theme="1"/>
            <rFont val="Calibri"/>
            <family val="2"/>
            <scheme val="minor"/>
          </rPr>
          <t>Introduzca la fecha prevista de adjudicación, en formato dd-mm-aaaa</t>
        </r>
      </text>
    </comment>
    <comment ref="F6273" authorId="2">
      <text/>
    </comment>
    <comment ref="F6274" authorId="2">
      <text/>
    </comment>
    <comment ref="A6276" authorId="2">
      <text>
        <r>
          <rPr>
            <sz val="11"/>
            <color theme="1"/>
            <rFont val="Calibri"/>
            <family val="2"/>
            <scheme val="minor"/>
          </rPr>
          <t>Introduzca un codigo UNSPSC</t>
        </r>
      </text>
    </comment>
    <comment ref="B6276" authorId="2">
      <text>
        <r>
          <rPr>
            <sz val="11"/>
            <color theme="1"/>
            <rFont val="Calibri"/>
            <family val="2"/>
            <scheme val="minor"/>
          </rPr>
          <t>Descripción calculada automáticamente a partir de código del artículo</t>
        </r>
      </text>
    </comment>
    <comment ref="C6276" authorId="2">
      <text>
        <r>
          <rPr>
            <sz val="11"/>
            <color theme="1"/>
            <rFont val="Calibri"/>
            <family val="2"/>
            <scheme val="minor"/>
          </rPr>
          <t>Seleccione un valor de la lista</t>
        </r>
      </text>
    </comment>
    <comment ref="D6276" authorId="2">
      <text>
        <r>
          <rPr>
            <sz val="11"/>
            <color theme="1"/>
            <rFont val="Calibri"/>
            <family val="2"/>
            <scheme val="minor"/>
          </rPr>
          <t>Introduzca un número con dos decimales como máximo. Debe ser igual o mayor a la "Cantidad Real Consumida"</t>
        </r>
      </text>
    </comment>
    <comment ref="E6276" authorId="2">
      <text>
        <r>
          <rPr>
            <sz val="11"/>
            <color theme="1"/>
            <rFont val="Calibri"/>
            <family val="2"/>
            <scheme val="minor"/>
          </rPr>
          <t>Introduzca un número con dos decimales como máximo</t>
        </r>
      </text>
    </comment>
    <comment ref="F6276" authorId="2">
      <text>
        <r>
          <rPr>
            <sz val="11"/>
            <color theme="1"/>
            <rFont val="Calibri"/>
            <family val="2"/>
            <scheme val="minor"/>
          </rPr>
          <t>Monto calculado automáticamente por el sistema</t>
        </r>
      </text>
    </comment>
    <comment ref="A6281" authorId="2">
      <text>
        <r>
          <rPr>
            <sz val="11"/>
            <color theme="1"/>
            <rFont val="Calibri"/>
            <family val="2"/>
            <scheme val="minor"/>
          </rPr>
          <t>Introducir un texto con el nombre o referencia de la contratación</t>
        </r>
      </text>
    </comment>
    <comment ref="B6281" authorId="2">
      <text>
        <r>
          <rPr>
            <sz val="11"/>
            <color theme="1"/>
            <rFont val="Calibri"/>
            <family val="2"/>
            <scheme val="minor"/>
          </rPr>
          <t>Introduzca un texto con la finalidad de la contratación</t>
        </r>
      </text>
    </comment>
    <comment ref="C6281" authorId="2">
      <text>
        <r>
          <rPr>
            <sz val="11"/>
            <color theme="1"/>
            <rFont val="Calibri"/>
            <family val="2"/>
            <scheme val="minor"/>
          </rPr>
          <t>Seleccionar un valor del listado</t>
        </r>
      </text>
    </comment>
    <comment ref="D6281" authorId="2">
      <text>
        <r>
          <rPr>
            <sz val="11"/>
            <color theme="1"/>
            <rFont val="Calibri"/>
            <family val="2"/>
            <scheme val="minor"/>
          </rPr>
          <t>Seleccione el tipo de procedimiento</t>
        </r>
      </text>
    </comment>
    <comment ref="E6281" authorId="2">
      <text>
        <r>
          <rPr>
            <sz val="11"/>
            <color theme="1"/>
            <rFont val="Calibri"/>
            <family val="2"/>
            <scheme val="minor"/>
          </rPr>
          <t>Seleccione un valor de la lista</t>
        </r>
      </text>
    </comment>
    <comment ref="F6281" authorId="2">
      <text>
        <r>
          <rPr>
            <sz val="11"/>
            <color theme="1"/>
            <rFont val="Calibri"/>
            <family val="2"/>
            <scheme val="minor"/>
          </rPr>
          <t>Introduzca el código SNIP</t>
        </r>
      </text>
    </comment>
    <comment ref="C6282" authorId="2">
      <text>
        <r>
          <rPr>
            <sz val="11"/>
            <color theme="1"/>
            <rFont val="Calibri"/>
            <family val="2"/>
            <scheme val="minor"/>
          </rPr>
          <t>Introduzca la fecha de inicio del proceso, en formato dd-mm-aaaa</t>
        </r>
      </text>
    </comment>
    <comment ref="F62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3" authorId="2">
      <text/>
    </comment>
    <comment ref="C6284" authorId="2">
      <text>
        <r>
          <rPr>
            <sz val="11"/>
            <color theme="1"/>
            <rFont val="Calibri"/>
            <family val="2"/>
            <scheme val="minor"/>
          </rPr>
          <t>Introduzca la fecha prevista de adjudicación, en formato dd-mm-aaaa</t>
        </r>
      </text>
    </comment>
    <comment ref="F6284" authorId="2">
      <text/>
    </comment>
    <comment ref="F6285" authorId="2">
      <text/>
    </comment>
    <comment ref="A6287" authorId="2">
      <text>
        <r>
          <rPr>
            <sz val="11"/>
            <color theme="1"/>
            <rFont val="Calibri"/>
            <family val="2"/>
            <scheme val="minor"/>
          </rPr>
          <t>Introduzca un codigo UNSPSC</t>
        </r>
      </text>
    </comment>
    <comment ref="B6287" authorId="2">
      <text>
        <r>
          <rPr>
            <sz val="11"/>
            <color theme="1"/>
            <rFont val="Calibri"/>
            <family val="2"/>
            <scheme val="minor"/>
          </rPr>
          <t>Descripción calculada automáticamente a partir de código del artículo</t>
        </r>
      </text>
    </comment>
    <comment ref="C6287" authorId="2">
      <text>
        <r>
          <rPr>
            <sz val="11"/>
            <color theme="1"/>
            <rFont val="Calibri"/>
            <family val="2"/>
            <scheme val="minor"/>
          </rPr>
          <t>Seleccione un valor de la lista</t>
        </r>
      </text>
    </comment>
    <comment ref="D6287" authorId="2">
      <text>
        <r>
          <rPr>
            <sz val="11"/>
            <color theme="1"/>
            <rFont val="Calibri"/>
            <family val="2"/>
            <scheme val="minor"/>
          </rPr>
          <t>Introduzca un número con dos decimales como máximo. Debe ser igual o mayor a la "Cantidad Real Consumida"</t>
        </r>
      </text>
    </comment>
    <comment ref="E6287" authorId="2">
      <text>
        <r>
          <rPr>
            <sz val="11"/>
            <color theme="1"/>
            <rFont val="Calibri"/>
            <family val="2"/>
            <scheme val="minor"/>
          </rPr>
          <t>Introduzca un número con dos decimales como máximo</t>
        </r>
      </text>
    </comment>
    <comment ref="F6287" authorId="2">
      <text>
        <r>
          <rPr>
            <sz val="11"/>
            <color theme="1"/>
            <rFont val="Calibri"/>
            <family val="2"/>
            <scheme val="minor"/>
          </rPr>
          <t>Monto calculado automáticamente por el sistema</t>
        </r>
      </text>
    </comment>
    <comment ref="A6292" authorId="2">
      <text>
        <r>
          <rPr>
            <sz val="11"/>
            <color theme="1"/>
            <rFont val="Calibri"/>
            <family val="2"/>
            <scheme val="minor"/>
          </rPr>
          <t>Introducir un texto con el nombre o referencia de la contratación</t>
        </r>
      </text>
    </comment>
    <comment ref="B6292" authorId="2">
      <text>
        <r>
          <rPr>
            <sz val="11"/>
            <color theme="1"/>
            <rFont val="Calibri"/>
            <family val="2"/>
            <scheme val="minor"/>
          </rPr>
          <t>Introduzca un texto con la finalidad de la contratación</t>
        </r>
      </text>
    </comment>
    <comment ref="C6292" authorId="2">
      <text>
        <r>
          <rPr>
            <sz val="11"/>
            <color theme="1"/>
            <rFont val="Calibri"/>
            <family val="2"/>
            <scheme val="minor"/>
          </rPr>
          <t>Seleccionar un valor del listado</t>
        </r>
      </text>
    </comment>
    <comment ref="D6292" authorId="2">
      <text>
        <r>
          <rPr>
            <sz val="11"/>
            <color theme="1"/>
            <rFont val="Calibri"/>
            <family val="2"/>
            <scheme val="minor"/>
          </rPr>
          <t>Seleccione el tipo de procedimiento</t>
        </r>
      </text>
    </comment>
    <comment ref="E6292" authorId="2">
      <text>
        <r>
          <rPr>
            <sz val="11"/>
            <color theme="1"/>
            <rFont val="Calibri"/>
            <family val="2"/>
            <scheme val="minor"/>
          </rPr>
          <t>Seleccione un valor de la lista</t>
        </r>
      </text>
    </comment>
    <comment ref="F6292" authorId="2">
      <text>
        <r>
          <rPr>
            <sz val="11"/>
            <color theme="1"/>
            <rFont val="Calibri"/>
            <family val="2"/>
            <scheme val="minor"/>
          </rPr>
          <t>Introduzca el código SNIP</t>
        </r>
      </text>
    </comment>
    <comment ref="C6293" authorId="2">
      <text>
        <r>
          <rPr>
            <sz val="11"/>
            <color theme="1"/>
            <rFont val="Calibri"/>
            <family val="2"/>
            <scheme val="minor"/>
          </rPr>
          <t>Introduzca la fecha de inicio del proceso, en formato dd-mm-aaaa</t>
        </r>
      </text>
    </comment>
    <comment ref="F62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4" authorId="2">
      <text/>
    </comment>
    <comment ref="C6295" authorId="2">
      <text>
        <r>
          <rPr>
            <sz val="11"/>
            <color theme="1"/>
            <rFont val="Calibri"/>
            <family val="2"/>
            <scheme val="minor"/>
          </rPr>
          <t>Introduzca la fecha prevista de adjudicación, en formato dd-mm-aaaa</t>
        </r>
      </text>
    </comment>
    <comment ref="F6295" authorId="2">
      <text/>
    </comment>
    <comment ref="F6296" authorId="2">
      <text/>
    </comment>
    <comment ref="A6298" authorId="2">
      <text>
        <r>
          <rPr>
            <sz val="11"/>
            <color theme="1"/>
            <rFont val="Calibri"/>
            <family val="2"/>
            <scheme val="minor"/>
          </rPr>
          <t>Introduzca un codigo UNSPSC</t>
        </r>
      </text>
    </comment>
    <comment ref="B6298" authorId="2">
      <text>
        <r>
          <rPr>
            <sz val="11"/>
            <color theme="1"/>
            <rFont val="Calibri"/>
            <family val="2"/>
            <scheme val="minor"/>
          </rPr>
          <t>Descripción calculada automáticamente a partir de código del artículo</t>
        </r>
      </text>
    </comment>
    <comment ref="C6298" authorId="2">
      <text>
        <r>
          <rPr>
            <sz val="11"/>
            <color theme="1"/>
            <rFont val="Calibri"/>
            <family val="2"/>
            <scheme val="minor"/>
          </rPr>
          <t>Seleccione un valor de la lista</t>
        </r>
      </text>
    </comment>
    <comment ref="D6298" authorId="2">
      <text>
        <r>
          <rPr>
            <sz val="11"/>
            <color theme="1"/>
            <rFont val="Calibri"/>
            <family val="2"/>
            <scheme val="minor"/>
          </rPr>
          <t>Introduzca un número con dos decimales como máximo. Debe ser igual o mayor a la "Cantidad Real Consumida"</t>
        </r>
      </text>
    </comment>
    <comment ref="E6298" authorId="2">
      <text>
        <r>
          <rPr>
            <sz val="11"/>
            <color theme="1"/>
            <rFont val="Calibri"/>
            <family val="2"/>
            <scheme val="minor"/>
          </rPr>
          <t>Introduzca un número con dos decimales como máximo</t>
        </r>
      </text>
    </comment>
    <comment ref="F6298" authorId="2">
      <text>
        <r>
          <rPr>
            <sz val="11"/>
            <color theme="1"/>
            <rFont val="Calibri"/>
            <family val="2"/>
            <scheme val="minor"/>
          </rPr>
          <t>Monto calculado automáticamente por el sistema</t>
        </r>
      </text>
    </comment>
    <comment ref="A6303" authorId="2">
      <text>
        <r>
          <rPr>
            <sz val="11"/>
            <color theme="1"/>
            <rFont val="Calibri"/>
            <family val="2"/>
            <scheme val="minor"/>
          </rPr>
          <t>Introducir un texto con el nombre o referencia de la contratación</t>
        </r>
      </text>
    </comment>
    <comment ref="B6303" authorId="2">
      <text>
        <r>
          <rPr>
            <sz val="11"/>
            <color theme="1"/>
            <rFont val="Calibri"/>
            <family val="2"/>
            <scheme val="minor"/>
          </rPr>
          <t>Introduzca un texto con la finalidad de la contratación</t>
        </r>
      </text>
    </comment>
    <comment ref="C6303" authorId="2">
      <text>
        <r>
          <rPr>
            <sz val="11"/>
            <color theme="1"/>
            <rFont val="Calibri"/>
            <family val="2"/>
            <scheme val="minor"/>
          </rPr>
          <t>Seleccionar un valor del listado</t>
        </r>
      </text>
    </comment>
    <comment ref="D6303" authorId="2">
      <text>
        <r>
          <rPr>
            <sz val="11"/>
            <color theme="1"/>
            <rFont val="Calibri"/>
            <family val="2"/>
            <scheme val="minor"/>
          </rPr>
          <t>Seleccione el tipo de procedimiento</t>
        </r>
      </text>
    </comment>
    <comment ref="E6303" authorId="2">
      <text>
        <r>
          <rPr>
            <sz val="11"/>
            <color theme="1"/>
            <rFont val="Calibri"/>
            <family val="2"/>
            <scheme val="minor"/>
          </rPr>
          <t>Seleccione un valor de la lista</t>
        </r>
      </text>
    </comment>
    <comment ref="F6303" authorId="2">
      <text>
        <r>
          <rPr>
            <sz val="11"/>
            <color theme="1"/>
            <rFont val="Calibri"/>
            <family val="2"/>
            <scheme val="minor"/>
          </rPr>
          <t>Introduzca el código SNIP</t>
        </r>
      </text>
    </comment>
    <comment ref="C6304" authorId="2">
      <text>
        <r>
          <rPr>
            <sz val="11"/>
            <color theme="1"/>
            <rFont val="Calibri"/>
            <family val="2"/>
            <scheme val="minor"/>
          </rPr>
          <t>Introduzca la fecha de inicio del proceso, en formato dd-mm-aaaa</t>
        </r>
      </text>
    </comment>
    <comment ref="F63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5" authorId="2">
      <text/>
    </comment>
    <comment ref="C6306" authorId="2">
      <text>
        <r>
          <rPr>
            <sz val="11"/>
            <color theme="1"/>
            <rFont val="Calibri"/>
            <family val="2"/>
            <scheme val="minor"/>
          </rPr>
          <t>Introduzca la fecha prevista de adjudicación, en formato dd-mm-aaaa</t>
        </r>
      </text>
    </comment>
    <comment ref="F6306" authorId="2">
      <text/>
    </comment>
    <comment ref="F6307" authorId="2">
      <text/>
    </comment>
    <comment ref="A6309" authorId="2">
      <text>
        <r>
          <rPr>
            <sz val="11"/>
            <color theme="1"/>
            <rFont val="Calibri"/>
            <family val="2"/>
            <scheme val="minor"/>
          </rPr>
          <t>Introduzca un codigo UNSPSC</t>
        </r>
      </text>
    </comment>
    <comment ref="B6309" authorId="2">
      <text>
        <r>
          <rPr>
            <sz val="11"/>
            <color theme="1"/>
            <rFont val="Calibri"/>
            <family val="2"/>
            <scheme val="minor"/>
          </rPr>
          <t>Descripción calculada automáticamente a partir de código del artículo</t>
        </r>
      </text>
    </comment>
    <comment ref="C6309" authorId="2">
      <text>
        <r>
          <rPr>
            <sz val="11"/>
            <color theme="1"/>
            <rFont val="Calibri"/>
            <family val="2"/>
            <scheme val="minor"/>
          </rPr>
          <t>Seleccione un valor de la lista</t>
        </r>
      </text>
    </comment>
    <comment ref="D6309" authorId="2">
      <text>
        <r>
          <rPr>
            <sz val="11"/>
            <color theme="1"/>
            <rFont val="Calibri"/>
            <family val="2"/>
            <scheme val="minor"/>
          </rPr>
          <t>Introduzca un número con dos decimales como máximo. Debe ser igual o mayor a la "Cantidad Real Consumida"</t>
        </r>
      </text>
    </comment>
    <comment ref="E6309" authorId="2">
      <text>
        <r>
          <rPr>
            <sz val="11"/>
            <color theme="1"/>
            <rFont val="Calibri"/>
            <family val="2"/>
            <scheme val="minor"/>
          </rPr>
          <t>Introduzca un número con dos decimales como máximo</t>
        </r>
      </text>
    </comment>
    <comment ref="F6309" authorId="2">
      <text>
        <r>
          <rPr>
            <sz val="11"/>
            <color theme="1"/>
            <rFont val="Calibri"/>
            <family val="2"/>
            <scheme val="minor"/>
          </rPr>
          <t>Monto calculado automáticamente por el sistema</t>
        </r>
      </text>
    </comment>
    <comment ref="A6316" authorId="2">
      <text>
        <r>
          <rPr>
            <sz val="11"/>
            <color theme="1"/>
            <rFont val="Calibri"/>
            <family val="2"/>
            <scheme val="minor"/>
          </rPr>
          <t>Introducir un texto con el nombre o referencia de la contratación</t>
        </r>
      </text>
    </comment>
    <comment ref="B6316" authorId="2">
      <text>
        <r>
          <rPr>
            <sz val="11"/>
            <color theme="1"/>
            <rFont val="Calibri"/>
            <family val="2"/>
            <scheme val="minor"/>
          </rPr>
          <t>Introduzca un texto con la finalidad de la contratación</t>
        </r>
      </text>
    </comment>
    <comment ref="C6316" authorId="2">
      <text>
        <r>
          <rPr>
            <sz val="11"/>
            <color theme="1"/>
            <rFont val="Calibri"/>
            <family val="2"/>
            <scheme val="minor"/>
          </rPr>
          <t>Seleccionar un valor del listado</t>
        </r>
      </text>
    </comment>
    <comment ref="D6316" authorId="2">
      <text>
        <r>
          <rPr>
            <sz val="11"/>
            <color theme="1"/>
            <rFont val="Calibri"/>
            <family val="2"/>
            <scheme val="minor"/>
          </rPr>
          <t>Seleccione el tipo de procedimiento</t>
        </r>
      </text>
    </comment>
    <comment ref="E6316" authorId="2">
      <text>
        <r>
          <rPr>
            <sz val="11"/>
            <color theme="1"/>
            <rFont val="Calibri"/>
            <family val="2"/>
            <scheme val="minor"/>
          </rPr>
          <t>Seleccione un valor de la lista</t>
        </r>
      </text>
    </comment>
    <comment ref="F6316" authorId="2">
      <text>
        <r>
          <rPr>
            <sz val="11"/>
            <color theme="1"/>
            <rFont val="Calibri"/>
            <family val="2"/>
            <scheme val="minor"/>
          </rPr>
          <t>Introduzca el código SNIP</t>
        </r>
      </text>
    </comment>
    <comment ref="C6317" authorId="2">
      <text>
        <r>
          <rPr>
            <sz val="11"/>
            <color theme="1"/>
            <rFont val="Calibri"/>
            <family val="2"/>
            <scheme val="minor"/>
          </rPr>
          <t>Introduzca la fecha de inicio del proceso, en formato dd-mm-aaaa</t>
        </r>
      </text>
    </comment>
    <comment ref="F63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8" authorId="2">
      <text/>
    </comment>
    <comment ref="C6319" authorId="2">
      <text>
        <r>
          <rPr>
            <sz val="11"/>
            <color theme="1"/>
            <rFont val="Calibri"/>
            <family val="2"/>
            <scheme val="minor"/>
          </rPr>
          <t>Introduzca la fecha prevista de adjudicación, en formato dd-mm-aaaa</t>
        </r>
      </text>
    </comment>
    <comment ref="F6319" authorId="2">
      <text/>
    </comment>
    <comment ref="F6320" authorId="2">
      <text/>
    </comment>
    <comment ref="A6322" authorId="2">
      <text>
        <r>
          <rPr>
            <sz val="11"/>
            <color theme="1"/>
            <rFont val="Calibri"/>
            <family val="2"/>
            <scheme val="minor"/>
          </rPr>
          <t>Introduzca un codigo UNSPSC</t>
        </r>
      </text>
    </comment>
    <comment ref="B6322" authorId="2">
      <text>
        <r>
          <rPr>
            <sz val="11"/>
            <color theme="1"/>
            <rFont val="Calibri"/>
            <family val="2"/>
            <scheme val="minor"/>
          </rPr>
          <t>Descripción calculada automáticamente a partir de código del artículo</t>
        </r>
      </text>
    </comment>
    <comment ref="C6322" authorId="2">
      <text>
        <r>
          <rPr>
            <sz val="11"/>
            <color theme="1"/>
            <rFont val="Calibri"/>
            <family val="2"/>
            <scheme val="minor"/>
          </rPr>
          <t>Seleccione un valor de la lista</t>
        </r>
      </text>
    </comment>
    <comment ref="D6322" authorId="2">
      <text>
        <r>
          <rPr>
            <sz val="11"/>
            <color theme="1"/>
            <rFont val="Calibri"/>
            <family val="2"/>
            <scheme val="minor"/>
          </rPr>
          <t>Introduzca un número con dos decimales como máximo. Debe ser igual o mayor a la "Cantidad Real Consumida"</t>
        </r>
      </text>
    </comment>
    <comment ref="E6322" authorId="2">
      <text>
        <r>
          <rPr>
            <sz val="11"/>
            <color theme="1"/>
            <rFont val="Calibri"/>
            <family val="2"/>
            <scheme val="minor"/>
          </rPr>
          <t>Introduzca un número con dos decimales como máximo</t>
        </r>
      </text>
    </comment>
    <comment ref="F6322" authorId="2">
      <text>
        <r>
          <rPr>
            <sz val="11"/>
            <color theme="1"/>
            <rFont val="Calibri"/>
            <family val="2"/>
            <scheme val="minor"/>
          </rPr>
          <t>Monto calculado automáticamente por el sistema</t>
        </r>
      </text>
    </comment>
    <comment ref="A6327" authorId="2">
      <text>
        <r>
          <rPr>
            <sz val="11"/>
            <color theme="1"/>
            <rFont val="Calibri"/>
            <family val="2"/>
            <scheme val="minor"/>
          </rPr>
          <t>Introducir un texto con el nombre o referencia de la contratación</t>
        </r>
      </text>
    </comment>
    <comment ref="B6327" authorId="2">
      <text>
        <r>
          <rPr>
            <sz val="11"/>
            <color theme="1"/>
            <rFont val="Calibri"/>
            <family val="2"/>
            <scheme val="minor"/>
          </rPr>
          <t>Introduzca un texto con la finalidad de la contratación</t>
        </r>
      </text>
    </comment>
    <comment ref="C6327" authorId="2">
      <text>
        <r>
          <rPr>
            <sz val="11"/>
            <color theme="1"/>
            <rFont val="Calibri"/>
            <family val="2"/>
            <scheme val="minor"/>
          </rPr>
          <t>Seleccionar un valor del listado</t>
        </r>
      </text>
    </comment>
    <comment ref="D6327" authorId="2">
      <text>
        <r>
          <rPr>
            <sz val="11"/>
            <color theme="1"/>
            <rFont val="Calibri"/>
            <family val="2"/>
            <scheme val="minor"/>
          </rPr>
          <t>Seleccione el tipo de procedimiento</t>
        </r>
      </text>
    </comment>
    <comment ref="E6327" authorId="2">
      <text>
        <r>
          <rPr>
            <sz val="11"/>
            <color theme="1"/>
            <rFont val="Calibri"/>
            <family val="2"/>
            <scheme val="minor"/>
          </rPr>
          <t>Seleccione un valor de la lista</t>
        </r>
      </text>
    </comment>
    <comment ref="F6327" authorId="2">
      <text>
        <r>
          <rPr>
            <sz val="11"/>
            <color theme="1"/>
            <rFont val="Calibri"/>
            <family val="2"/>
            <scheme val="minor"/>
          </rPr>
          <t>Introduzca el código SNIP</t>
        </r>
      </text>
    </comment>
    <comment ref="C6328" authorId="2">
      <text>
        <r>
          <rPr>
            <sz val="11"/>
            <color theme="1"/>
            <rFont val="Calibri"/>
            <family val="2"/>
            <scheme val="minor"/>
          </rPr>
          <t>Introduzca la fecha de inicio del proceso, en formato dd-mm-aaaa</t>
        </r>
      </text>
    </comment>
    <comment ref="F63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9" authorId="2">
      <text/>
    </comment>
    <comment ref="C6330" authorId="2">
      <text>
        <r>
          <rPr>
            <sz val="11"/>
            <color theme="1"/>
            <rFont val="Calibri"/>
            <family val="2"/>
            <scheme val="minor"/>
          </rPr>
          <t>Introduzca la fecha prevista de adjudicación, en formato dd-mm-aaaa</t>
        </r>
      </text>
    </comment>
    <comment ref="F6330" authorId="2">
      <text/>
    </comment>
    <comment ref="F6331" authorId="2">
      <text/>
    </comment>
    <comment ref="A6333" authorId="2">
      <text>
        <r>
          <rPr>
            <sz val="11"/>
            <color theme="1"/>
            <rFont val="Calibri"/>
            <family val="2"/>
            <scheme val="minor"/>
          </rPr>
          <t>Introduzca un codigo UNSPSC</t>
        </r>
      </text>
    </comment>
    <comment ref="B6333" authorId="2">
      <text>
        <r>
          <rPr>
            <sz val="11"/>
            <color theme="1"/>
            <rFont val="Calibri"/>
            <family val="2"/>
            <scheme val="minor"/>
          </rPr>
          <t>Descripción calculada automáticamente a partir de código del artículo</t>
        </r>
      </text>
    </comment>
    <comment ref="C6333" authorId="2">
      <text>
        <r>
          <rPr>
            <sz val="11"/>
            <color theme="1"/>
            <rFont val="Calibri"/>
            <family val="2"/>
            <scheme val="minor"/>
          </rPr>
          <t>Seleccione un valor de la lista</t>
        </r>
      </text>
    </comment>
    <comment ref="D6333" authorId="2">
      <text>
        <r>
          <rPr>
            <sz val="11"/>
            <color theme="1"/>
            <rFont val="Calibri"/>
            <family val="2"/>
            <scheme val="minor"/>
          </rPr>
          <t>Introduzca un número con dos decimales como máximo. Debe ser igual o mayor a la "Cantidad Real Consumida"</t>
        </r>
      </text>
    </comment>
    <comment ref="E6333" authorId="2">
      <text>
        <r>
          <rPr>
            <sz val="11"/>
            <color theme="1"/>
            <rFont val="Calibri"/>
            <family val="2"/>
            <scheme val="minor"/>
          </rPr>
          <t>Introduzca un número con dos decimales como máximo</t>
        </r>
      </text>
    </comment>
    <comment ref="F6333" authorId="2">
      <text>
        <r>
          <rPr>
            <sz val="11"/>
            <color theme="1"/>
            <rFont val="Calibri"/>
            <family val="2"/>
            <scheme val="minor"/>
          </rPr>
          <t>Monto calculado automáticamente por el sistema</t>
        </r>
      </text>
    </comment>
    <comment ref="A6338" authorId="2">
      <text>
        <r>
          <rPr>
            <sz val="11"/>
            <color theme="1"/>
            <rFont val="Calibri"/>
            <family val="2"/>
            <scheme val="minor"/>
          </rPr>
          <t>Introducir un texto con el nombre o referencia de la contratación</t>
        </r>
      </text>
    </comment>
    <comment ref="B6338" authorId="2">
      <text>
        <r>
          <rPr>
            <sz val="11"/>
            <color theme="1"/>
            <rFont val="Calibri"/>
            <family val="2"/>
            <scheme val="minor"/>
          </rPr>
          <t>Introduzca un texto con la finalidad de la contratación</t>
        </r>
      </text>
    </comment>
    <comment ref="C6338" authorId="2">
      <text>
        <r>
          <rPr>
            <sz val="11"/>
            <color theme="1"/>
            <rFont val="Calibri"/>
            <family val="2"/>
            <scheme val="minor"/>
          </rPr>
          <t>Seleccionar un valor del listado</t>
        </r>
      </text>
    </comment>
    <comment ref="D6338" authorId="2">
      <text>
        <r>
          <rPr>
            <sz val="11"/>
            <color theme="1"/>
            <rFont val="Calibri"/>
            <family val="2"/>
            <scheme val="minor"/>
          </rPr>
          <t>Seleccione el tipo de procedimiento</t>
        </r>
      </text>
    </comment>
    <comment ref="E6338" authorId="2">
      <text>
        <r>
          <rPr>
            <sz val="11"/>
            <color theme="1"/>
            <rFont val="Calibri"/>
            <family val="2"/>
            <scheme val="minor"/>
          </rPr>
          <t>Seleccione un valor de la lista</t>
        </r>
      </text>
    </comment>
    <comment ref="F6338" authorId="2">
      <text>
        <r>
          <rPr>
            <sz val="11"/>
            <color theme="1"/>
            <rFont val="Calibri"/>
            <family val="2"/>
            <scheme val="minor"/>
          </rPr>
          <t>Introduzca el código SNIP</t>
        </r>
      </text>
    </comment>
    <comment ref="C6339" authorId="2">
      <text>
        <r>
          <rPr>
            <sz val="11"/>
            <color theme="1"/>
            <rFont val="Calibri"/>
            <family val="2"/>
            <scheme val="minor"/>
          </rPr>
          <t>Introduzca la fecha de inicio del proceso, en formato dd-mm-aaaa</t>
        </r>
      </text>
    </comment>
    <comment ref="F63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0" authorId="2">
      <text/>
    </comment>
    <comment ref="C6341" authorId="2">
      <text>
        <r>
          <rPr>
            <sz val="11"/>
            <color theme="1"/>
            <rFont val="Calibri"/>
            <family val="2"/>
            <scheme val="minor"/>
          </rPr>
          <t>Introduzca la fecha prevista de adjudicación, en formato dd-mm-aaaa</t>
        </r>
      </text>
    </comment>
    <comment ref="F6341" authorId="2">
      <text/>
    </comment>
    <comment ref="F6342" authorId="2">
      <text/>
    </comment>
    <comment ref="A6344" authorId="2">
      <text>
        <r>
          <rPr>
            <sz val="11"/>
            <color theme="1"/>
            <rFont val="Calibri"/>
            <family val="2"/>
            <scheme val="minor"/>
          </rPr>
          <t>Introduzca un codigo UNSPSC</t>
        </r>
      </text>
    </comment>
    <comment ref="B6344" authorId="2">
      <text>
        <r>
          <rPr>
            <sz val="11"/>
            <color theme="1"/>
            <rFont val="Calibri"/>
            <family val="2"/>
            <scheme val="minor"/>
          </rPr>
          <t>Descripción calculada automáticamente a partir de código del artículo</t>
        </r>
      </text>
    </comment>
    <comment ref="C6344" authorId="2">
      <text>
        <r>
          <rPr>
            <sz val="11"/>
            <color theme="1"/>
            <rFont val="Calibri"/>
            <family val="2"/>
            <scheme val="minor"/>
          </rPr>
          <t>Seleccione un valor de la lista</t>
        </r>
      </text>
    </comment>
    <comment ref="D6344" authorId="2">
      <text>
        <r>
          <rPr>
            <sz val="11"/>
            <color theme="1"/>
            <rFont val="Calibri"/>
            <family val="2"/>
            <scheme val="minor"/>
          </rPr>
          <t>Introduzca un número con dos decimales como máximo. Debe ser igual o mayor a la "Cantidad Real Consumida"</t>
        </r>
      </text>
    </comment>
    <comment ref="E6344" authorId="2">
      <text>
        <r>
          <rPr>
            <sz val="11"/>
            <color theme="1"/>
            <rFont val="Calibri"/>
            <family val="2"/>
            <scheme val="minor"/>
          </rPr>
          <t>Introduzca un número con dos decimales como máximo</t>
        </r>
      </text>
    </comment>
    <comment ref="F6344" authorId="2">
      <text>
        <r>
          <rPr>
            <sz val="11"/>
            <color theme="1"/>
            <rFont val="Calibri"/>
            <family val="2"/>
            <scheme val="minor"/>
          </rPr>
          <t>Monto calculado automáticamente por el sistema</t>
        </r>
      </text>
    </comment>
    <comment ref="A6349" authorId="2">
      <text>
        <r>
          <rPr>
            <sz val="11"/>
            <color theme="1"/>
            <rFont val="Calibri"/>
            <family val="2"/>
            <scheme val="minor"/>
          </rPr>
          <t>Introducir un texto con el nombre o referencia de la contratación</t>
        </r>
      </text>
    </comment>
    <comment ref="B6349" authorId="2">
      <text>
        <r>
          <rPr>
            <sz val="11"/>
            <color theme="1"/>
            <rFont val="Calibri"/>
            <family val="2"/>
            <scheme val="minor"/>
          </rPr>
          <t>Introduzca un texto con la finalidad de la contratación</t>
        </r>
      </text>
    </comment>
    <comment ref="C6349" authorId="2">
      <text>
        <r>
          <rPr>
            <sz val="11"/>
            <color theme="1"/>
            <rFont val="Calibri"/>
            <family val="2"/>
            <scheme val="minor"/>
          </rPr>
          <t>Seleccionar un valor del listado</t>
        </r>
      </text>
    </comment>
    <comment ref="D6349" authorId="2">
      <text>
        <r>
          <rPr>
            <sz val="11"/>
            <color theme="1"/>
            <rFont val="Calibri"/>
            <family val="2"/>
            <scheme val="minor"/>
          </rPr>
          <t>Seleccione el tipo de procedimiento</t>
        </r>
      </text>
    </comment>
    <comment ref="E6349" authorId="2">
      <text>
        <r>
          <rPr>
            <sz val="11"/>
            <color theme="1"/>
            <rFont val="Calibri"/>
            <family val="2"/>
            <scheme val="minor"/>
          </rPr>
          <t>Seleccione un valor de la lista</t>
        </r>
      </text>
    </comment>
    <comment ref="F6349" authorId="2">
      <text>
        <r>
          <rPr>
            <sz val="11"/>
            <color theme="1"/>
            <rFont val="Calibri"/>
            <family val="2"/>
            <scheme val="minor"/>
          </rPr>
          <t>Introduzca el código SNIP</t>
        </r>
      </text>
    </comment>
    <comment ref="C6350" authorId="2">
      <text>
        <r>
          <rPr>
            <sz val="11"/>
            <color theme="1"/>
            <rFont val="Calibri"/>
            <family val="2"/>
            <scheme val="minor"/>
          </rPr>
          <t>Introduzca la fecha de inicio del proceso, en formato dd-mm-aaaa</t>
        </r>
      </text>
    </comment>
    <comment ref="F63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1" authorId="2">
      <text/>
    </comment>
    <comment ref="C6352" authorId="2">
      <text>
        <r>
          <rPr>
            <sz val="11"/>
            <color theme="1"/>
            <rFont val="Calibri"/>
            <family val="2"/>
            <scheme val="minor"/>
          </rPr>
          <t>Introduzca la fecha prevista de adjudicación, en formato dd-mm-aaaa</t>
        </r>
      </text>
    </comment>
    <comment ref="F6352" authorId="2">
      <text/>
    </comment>
    <comment ref="F6353" authorId="2">
      <text/>
    </comment>
    <comment ref="A6355" authorId="2">
      <text>
        <r>
          <rPr>
            <sz val="11"/>
            <color theme="1"/>
            <rFont val="Calibri"/>
            <family val="2"/>
            <scheme val="minor"/>
          </rPr>
          <t>Introduzca un codigo UNSPSC</t>
        </r>
      </text>
    </comment>
    <comment ref="B6355" authorId="2">
      <text>
        <r>
          <rPr>
            <sz val="11"/>
            <color theme="1"/>
            <rFont val="Calibri"/>
            <family val="2"/>
            <scheme val="minor"/>
          </rPr>
          <t>Descripción calculada automáticamente a partir de código del artículo</t>
        </r>
      </text>
    </comment>
    <comment ref="C6355" authorId="2">
      <text>
        <r>
          <rPr>
            <sz val="11"/>
            <color theme="1"/>
            <rFont val="Calibri"/>
            <family val="2"/>
            <scheme val="minor"/>
          </rPr>
          <t>Seleccione un valor de la lista</t>
        </r>
      </text>
    </comment>
    <comment ref="D6355" authorId="2">
      <text>
        <r>
          <rPr>
            <sz val="11"/>
            <color theme="1"/>
            <rFont val="Calibri"/>
            <family val="2"/>
            <scheme val="minor"/>
          </rPr>
          <t>Introduzca un número con dos decimales como máximo. Debe ser igual o mayor a la "Cantidad Real Consumida"</t>
        </r>
      </text>
    </comment>
    <comment ref="E6355" authorId="2">
      <text>
        <r>
          <rPr>
            <sz val="11"/>
            <color theme="1"/>
            <rFont val="Calibri"/>
            <family val="2"/>
            <scheme val="minor"/>
          </rPr>
          <t>Introduzca un número con dos decimales como máximo</t>
        </r>
      </text>
    </comment>
    <comment ref="F6355" authorId="2">
      <text>
        <r>
          <rPr>
            <sz val="11"/>
            <color theme="1"/>
            <rFont val="Calibri"/>
            <family val="2"/>
            <scheme val="minor"/>
          </rPr>
          <t>Monto calculado automáticamente por el sistema</t>
        </r>
      </text>
    </comment>
    <comment ref="A6363" authorId="2">
      <text>
        <r>
          <rPr>
            <sz val="11"/>
            <color theme="1"/>
            <rFont val="Calibri"/>
            <family val="2"/>
            <scheme val="minor"/>
          </rPr>
          <t>Introducir un texto con el nombre o referencia de la contratación</t>
        </r>
      </text>
    </comment>
    <comment ref="B6363" authorId="2">
      <text>
        <r>
          <rPr>
            <sz val="11"/>
            <color theme="1"/>
            <rFont val="Calibri"/>
            <family val="2"/>
            <scheme val="minor"/>
          </rPr>
          <t>Introduzca un texto con la finalidad de la contratación</t>
        </r>
      </text>
    </comment>
    <comment ref="C6363" authorId="2">
      <text>
        <r>
          <rPr>
            <sz val="11"/>
            <color theme="1"/>
            <rFont val="Calibri"/>
            <family val="2"/>
            <scheme val="minor"/>
          </rPr>
          <t>Seleccionar un valor del listado</t>
        </r>
      </text>
    </comment>
    <comment ref="D6363" authorId="2">
      <text>
        <r>
          <rPr>
            <sz val="11"/>
            <color theme="1"/>
            <rFont val="Calibri"/>
            <family val="2"/>
            <scheme val="minor"/>
          </rPr>
          <t>Seleccione el tipo de procedimiento</t>
        </r>
      </text>
    </comment>
    <comment ref="E6363" authorId="2">
      <text>
        <r>
          <rPr>
            <sz val="11"/>
            <color theme="1"/>
            <rFont val="Calibri"/>
            <family val="2"/>
            <scheme val="minor"/>
          </rPr>
          <t>Seleccione un valor de la lista</t>
        </r>
      </text>
    </comment>
    <comment ref="F6363" authorId="2">
      <text>
        <r>
          <rPr>
            <sz val="11"/>
            <color theme="1"/>
            <rFont val="Calibri"/>
            <family val="2"/>
            <scheme val="minor"/>
          </rPr>
          <t>Introduzca el código SNIP</t>
        </r>
      </text>
    </comment>
    <comment ref="C6364" authorId="2">
      <text>
        <r>
          <rPr>
            <sz val="11"/>
            <color theme="1"/>
            <rFont val="Calibri"/>
            <family val="2"/>
            <scheme val="minor"/>
          </rPr>
          <t>Introduzca la fecha de inicio del proceso, en formato dd-mm-aaaa</t>
        </r>
      </text>
    </comment>
    <comment ref="F63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5" authorId="2">
      <text/>
    </comment>
    <comment ref="C6366" authorId="2">
      <text>
        <r>
          <rPr>
            <sz val="11"/>
            <color theme="1"/>
            <rFont val="Calibri"/>
            <family val="2"/>
            <scheme val="minor"/>
          </rPr>
          <t>Introduzca la fecha prevista de adjudicación, en formato dd-mm-aaaa</t>
        </r>
      </text>
    </comment>
    <comment ref="F6366" authorId="2">
      <text/>
    </comment>
    <comment ref="F6367" authorId="2">
      <text/>
    </comment>
    <comment ref="A6369" authorId="2">
      <text>
        <r>
          <rPr>
            <sz val="11"/>
            <color theme="1"/>
            <rFont val="Calibri"/>
            <family val="2"/>
            <scheme val="minor"/>
          </rPr>
          <t>Introduzca un codigo UNSPSC</t>
        </r>
      </text>
    </comment>
    <comment ref="B6369" authorId="2">
      <text>
        <r>
          <rPr>
            <sz val="11"/>
            <color theme="1"/>
            <rFont val="Calibri"/>
            <family val="2"/>
            <scheme val="minor"/>
          </rPr>
          <t>Descripción calculada automáticamente a partir de código del artículo</t>
        </r>
      </text>
    </comment>
    <comment ref="C6369" authorId="2">
      <text>
        <r>
          <rPr>
            <sz val="11"/>
            <color theme="1"/>
            <rFont val="Calibri"/>
            <family val="2"/>
            <scheme val="minor"/>
          </rPr>
          <t>Seleccione un valor de la lista</t>
        </r>
      </text>
    </comment>
    <comment ref="D6369" authorId="2">
      <text>
        <r>
          <rPr>
            <sz val="11"/>
            <color theme="1"/>
            <rFont val="Calibri"/>
            <family val="2"/>
            <scheme val="minor"/>
          </rPr>
          <t>Introduzca un número con dos decimales como máximo. Debe ser igual o mayor a la "Cantidad Real Consumida"</t>
        </r>
      </text>
    </comment>
    <comment ref="E6369" authorId="2">
      <text>
        <r>
          <rPr>
            <sz val="11"/>
            <color theme="1"/>
            <rFont val="Calibri"/>
            <family val="2"/>
            <scheme val="minor"/>
          </rPr>
          <t>Introduzca un número con dos decimales como máximo</t>
        </r>
      </text>
    </comment>
    <comment ref="F6369" authorId="2">
      <text>
        <r>
          <rPr>
            <sz val="11"/>
            <color theme="1"/>
            <rFont val="Calibri"/>
            <family val="2"/>
            <scheme val="minor"/>
          </rPr>
          <t>Monto calculado automáticamente por el sistema</t>
        </r>
      </text>
    </comment>
    <comment ref="A6374" authorId="2">
      <text>
        <r>
          <rPr>
            <sz val="11"/>
            <color theme="1"/>
            <rFont val="Calibri"/>
            <family val="2"/>
            <scheme val="minor"/>
          </rPr>
          <t>Introducir un texto con el nombre o referencia de la contratación</t>
        </r>
      </text>
    </comment>
    <comment ref="B6374" authorId="2">
      <text>
        <r>
          <rPr>
            <sz val="11"/>
            <color theme="1"/>
            <rFont val="Calibri"/>
            <family val="2"/>
            <scheme val="minor"/>
          </rPr>
          <t>Introduzca un texto con la finalidad de la contratación</t>
        </r>
      </text>
    </comment>
    <comment ref="C6374" authorId="2">
      <text>
        <r>
          <rPr>
            <sz val="11"/>
            <color theme="1"/>
            <rFont val="Calibri"/>
            <family val="2"/>
            <scheme val="minor"/>
          </rPr>
          <t>Seleccionar un valor del listado</t>
        </r>
      </text>
    </comment>
    <comment ref="D6374" authorId="2">
      <text>
        <r>
          <rPr>
            <sz val="11"/>
            <color theme="1"/>
            <rFont val="Calibri"/>
            <family val="2"/>
            <scheme val="minor"/>
          </rPr>
          <t>Seleccione el tipo de procedimiento</t>
        </r>
      </text>
    </comment>
    <comment ref="E6374" authorId="2">
      <text>
        <r>
          <rPr>
            <sz val="11"/>
            <color theme="1"/>
            <rFont val="Calibri"/>
            <family val="2"/>
            <scheme val="minor"/>
          </rPr>
          <t>Seleccione un valor de la lista</t>
        </r>
      </text>
    </comment>
    <comment ref="F6374" authorId="2">
      <text>
        <r>
          <rPr>
            <sz val="11"/>
            <color theme="1"/>
            <rFont val="Calibri"/>
            <family val="2"/>
            <scheme val="minor"/>
          </rPr>
          <t>Introduzca el código SNIP</t>
        </r>
      </text>
    </comment>
    <comment ref="C6375" authorId="2">
      <text>
        <r>
          <rPr>
            <sz val="11"/>
            <color theme="1"/>
            <rFont val="Calibri"/>
            <family val="2"/>
            <scheme val="minor"/>
          </rPr>
          <t>Introduzca la fecha de inicio del proceso, en formato dd-mm-aaaa</t>
        </r>
      </text>
    </comment>
    <comment ref="F63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6" authorId="2">
      <text/>
    </comment>
    <comment ref="C6377" authorId="2">
      <text>
        <r>
          <rPr>
            <sz val="11"/>
            <color theme="1"/>
            <rFont val="Calibri"/>
            <family val="2"/>
            <scheme val="minor"/>
          </rPr>
          <t>Introduzca la fecha prevista de adjudicación, en formato dd-mm-aaaa</t>
        </r>
      </text>
    </comment>
    <comment ref="F6377" authorId="2">
      <text/>
    </comment>
    <comment ref="F6378" authorId="2">
      <text/>
    </comment>
    <comment ref="A6380" authorId="2">
      <text>
        <r>
          <rPr>
            <sz val="11"/>
            <color theme="1"/>
            <rFont val="Calibri"/>
            <family val="2"/>
            <scheme val="minor"/>
          </rPr>
          <t>Introduzca un codigo UNSPSC</t>
        </r>
      </text>
    </comment>
    <comment ref="B6380" authorId="2">
      <text>
        <r>
          <rPr>
            <sz val="11"/>
            <color theme="1"/>
            <rFont val="Calibri"/>
            <family val="2"/>
            <scheme val="minor"/>
          </rPr>
          <t>Descripción calculada automáticamente a partir de código del artículo</t>
        </r>
      </text>
    </comment>
    <comment ref="C6380" authorId="2">
      <text>
        <r>
          <rPr>
            <sz val="11"/>
            <color theme="1"/>
            <rFont val="Calibri"/>
            <family val="2"/>
            <scheme val="minor"/>
          </rPr>
          <t>Seleccione un valor de la lista</t>
        </r>
      </text>
    </comment>
    <comment ref="D6380" authorId="2">
      <text>
        <r>
          <rPr>
            <sz val="11"/>
            <color theme="1"/>
            <rFont val="Calibri"/>
            <family val="2"/>
            <scheme val="minor"/>
          </rPr>
          <t>Introduzca un número con dos decimales como máximo. Debe ser igual o mayor a la "Cantidad Real Consumida"</t>
        </r>
      </text>
    </comment>
    <comment ref="E6380" authorId="2">
      <text>
        <r>
          <rPr>
            <sz val="11"/>
            <color theme="1"/>
            <rFont val="Calibri"/>
            <family val="2"/>
            <scheme val="minor"/>
          </rPr>
          <t>Introduzca un número con dos decimales como máximo</t>
        </r>
      </text>
    </comment>
    <comment ref="F6380" authorId="2">
      <text>
        <r>
          <rPr>
            <sz val="11"/>
            <color theme="1"/>
            <rFont val="Calibri"/>
            <family val="2"/>
            <scheme val="minor"/>
          </rPr>
          <t>Monto calculado automáticamente por el sistema</t>
        </r>
      </text>
    </comment>
    <comment ref="A6385" authorId="2">
      <text>
        <r>
          <rPr>
            <sz val="11"/>
            <color theme="1"/>
            <rFont val="Calibri"/>
            <family val="2"/>
            <scheme val="minor"/>
          </rPr>
          <t>Introducir un texto con el nombre o referencia de la contratación</t>
        </r>
      </text>
    </comment>
    <comment ref="B6385" authorId="2">
      <text>
        <r>
          <rPr>
            <sz val="11"/>
            <color theme="1"/>
            <rFont val="Calibri"/>
            <family val="2"/>
            <scheme val="minor"/>
          </rPr>
          <t>Introduzca un texto con la finalidad de la contratación</t>
        </r>
      </text>
    </comment>
    <comment ref="C6385" authorId="2">
      <text>
        <r>
          <rPr>
            <sz val="11"/>
            <color theme="1"/>
            <rFont val="Calibri"/>
            <family val="2"/>
            <scheme val="minor"/>
          </rPr>
          <t>Seleccionar un valor del listado</t>
        </r>
      </text>
    </comment>
    <comment ref="D6385" authorId="2">
      <text>
        <r>
          <rPr>
            <sz val="11"/>
            <color theme="1"/>
            <rFont val="Calibri"/>
            <family val="2"/>
            <scheme val="minor"/>
          </rPr>
          <t>Seleccione el tipo de procedimiento</t>
        </r>
      </text>
    </comment>
    <comment ref="E6385" authorId="2">
      <text>
        <r>
          <rPr>
            <sz val="11"/>
            <color theme="1"/>
            <rFont val="Calibri"/>
            <family val="2"/>
            <scheme val="minor"/>
          </rPr>
          <t>Seleccione un valor de la lista</t>
        </r>
      </text>
    </comment>
    <comment ref="F6385" authorId="2">
      <text>
        <r>
          <rPr>
            <sz val="11"/>
            <color theme="1"/>
            <rFont val="Calibri"/>
            <family val="2"/>
            <scheme val="minor"/>
          </rPr>
          <t>Introduzca el código SNIP</t>
        </r>
      </text>
    </comment>
    <comment ref="C6386" authorId="2">
      <text>
        <r>
          <rPr>
            <sz val="11"/>
            <color theme="1"/>
            <rFont val="Calibri"/>
            <family val="2"/>
            <scheme val="minor"/>
          </rPr>
          <t>Introduzca la fecha de inicio del proceso, en formato dd-mm-aaaa</t>
        </r>
      </text>
    </comment>
    <comment ref="F63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7" authorId="2">
      <text/>
    </comment>
    <comment ref="C6388" authorId="2">
      <text>
        <r>
          <rPr>
            <sz val="11"/>
            <color theme="1"/>
            <rFont val="Calibri"/>
            <family val="2"/>
            <scheme val="minor"/>
          </rPr>
          <t>Introduzca la fecha prevista de adjudicación, en formato dd-mm-aaaa</t>
        </r>
      </text>
    </comment>
    <comment ref="F6388" authorId="2">
      <text/>
    </comment>
    <comment ref="F6389" authorId="2">
      <text/>
    </comment>
    <comment ref="A6391" authorId="2">
      <text>
        <r>
          <rPr>
            <sz val="11"/>
            <color theme="1"/>
            <rFont val="Calibri"/>
            <family val="2"/>
            <scheme val="minor"/>
          </rPr>
          <t>Introduzca un codigo UNSPSC</t>
        </r>
      </text>
    </comment>
    <comment ref="B6391" authorId="2">
      <text>
        <r>
          <rPr>
            <sz val="11"/>
            <color theme="1"/>
            <rFont val="Calibri"/>
            <family val="2"/>
            <scheme val="minor"/>
          </rPr>
          <t>Descripción calculada automáticamente a partir de código del artículo</t>
        </r>
      </text>
    </comment>
    <comment ref="C6391" authorId="2">
      <text>
        <r>
          <rPr>
            <sz val="11"/>
            <color theme="1"/>
            <rFont val="Calibri"/>
            <family val="2"/>
            <scheme val="minor"/>
          </rPr>
          <t>Seleccione un valor de la lista</t>
        </r>
      </text>
    </comment>
    <comment ref="D6391" authorId="2">
      <text>
        <r>
          <rPr>
            <sz val="11"/>
            <color theme="1"/>
            <rFont val="Calibri"/>
            <family val="2"/>
            <scheme val="minor"/>
          </rPr>
          <t>Introduzca un número con dos decimales como máximo. Debe ser igual o mayor a la "Cantidad Real Consumida"</t>
        </r>
      </text>
    </comment>
    <comment ref="E6391" authorId="2">
      <text>
        <r>
          <rPr>
            <sz val="11"/>
            <color theme="1"/>
            <rFont val="Calibri"/>
            <family val="2"/>
            <scheme val="minor"/>
          </rPr>
          <t>Introduzca un número con dos decimales como máximo</t>
        </r>
      </text>
    </comment>
    <comment ref="F6391" authorId="2">
      <text>
        <r>
          <rPr>
            <sz val="11"/>
            <color theme="1"/>
            <rFont val="Calibri"/>
            <family val="2"/>
            <scheme val="minor"/>
          </rPr>
          <t>Monto calculado automáticamente por el sistema</t>
        </r>
      </text>
    </comment>
    <comment ref="A6396" authorId="2">
      <text>
        <r>
          <rPr>
            <sz val="11"/>
            <color theme="1"/>
            <rFont val="Calibri"/>
            <family val="2"/>
            <scheme val="minor"/>
          </rPr>
          <t>Introducir un texto con el nombre o referencia de la contratación</t>
        </r>
      </text>
    </comment>
    <comment ref="B6396" authorId="2">
      <text>
        <r>
          <rPr>
            <sz val="11"/>
            <color theme="1"/>
            <rFont val="Calibri"/>
            <family val="2"/>
            <scheme val="minor"/>
          </rPr>
          <t>Introduzca un texto con la finalidad de la contratación</t>
        </r>
      </text>
    </comment>
    <comment ref="C6396" authorId="2">
      <text>
        <r>
          <rPr>
            <sz val="11"/>
            <color theme="1"/>
            <rFont val="Calibri"/>
            <family val="2"/>
            <scheme val="minor"/>
          </rPr>
          <t>Seleccionar un valor del listado</t>
        </r>
      </text>
    </comment>
    <comment ref="D6396" authorId="2">
      <text>
        <r>
          <rPr>
            <sz val="11"/>
            <color theme="1"/>
            <rFont val="Calibri"/>
            <family val="2"/>
            <scheme val="minor"/>
          </rPr>
          <t>Seleccione el tipo de procedimiento</t>
        </r>
      </text>
    </comment>
    <comment ref="E6396" authorId="2">
      <text>
        <r>
          <rPr>
            <sz val="11"/>
            <color theme="1"/>
            <rFont val="Calibri"/>
            <family val="2"/>
            <scheme val="minor"/>
          </rPr>
          <t>Seleccione un valor de la lista</t>
        </r>
      </text>
    </comment>
    <comment ref="F6396" authorId="2">
      <text>
        <r>
          <rPr>
            <sz val="11"/>
            <color theme="1"/>
            <rFont val="Calibri"/>
            <family val="2"/>
            <scheme val="minor"/>
          </rPr>
          <t>Introduzca el código SNIP</t>
        </r>
      </text>
    </comment>
    <comment ref="C6397" authorId="2">
      <text>
        <r>
          <rPr>
            <sz val="11"/>
            <color theme="1"/>
            <rFont val="Calibri"/>
            <family val="2"/>
            <scheme val="minor"/>
          </rPr>
          <t>Introduzca la fecha de inicio del proceso, en formato dd-mm-aaaa</t>
        </r>
      </text>
    </comment>
    <comment ref="F63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8" authorId="2">
      <text/>
    </comment>
    <comment ref="C6399" authorId="2">
      <text>
        <r>
          <rPr>
            <sz val="11"/>
            <color theme="1"/>
            <rFont val="Calibri"/>
            <family val="2"/>
            <scheme val="minor"/>
          </rPr>
          <t>Introduzca la fecha prevista de adjudicación, en formato dd-mm-aaaa</t>
        </r>
      </text>
    </comment>
    <comment ref="F6399" authorId="2">
      <text/>
    </comment>
    <comment ref="F6400" authorId="2">
      <text/>
    </comment>
    <comment ref="A6402" authorId="2">
      <text>
        <r>
          <rPr>
            <sz val="11"/>
            <color theme="1"/>
            <rFont val="Calibri"/>
            <family val="2"/>
            <scheme val="minor"/>
          </rPr>
          <t>Introduzca un codigo UNSPSC</t>
        </r>
      </text>
    </comment>
    <comment ref="B6402" authorId="2">
      <text>
        <r>
          <rPr>
            <sz val="11"/>
            <color theme="1"/>
            <rFont val="Calibri"/>
            <family val="2"/>
            <scheme val="minor"/>
          </rPr>
          <t>Descripción calculada automáticamente a partir de código del artículo</t>
        </r>
      </text>
    </comment>
    <comment ref="C6402" authorId="2">
      <text>
        <r>
          <rPr>
            <sz val="11"/>
            <color theme="1"/>
            <rFont val="Calibri"/>
            <family val="2"/>
            <scheme val="minor"/>
          </rPr>
          <t>Seleccione un valor de la lista</t>
        </r>
      </text>
    </comment>
    <comment ref="D6402" authorId="2">
      <text>
        <r>
          <rPr>
            <sz val="11"/>
            <color theme="1"/>
            <rFont val="Calibri"/>
            <family val="2"/>
            <scheme val="minor"/>
          </rPr>
          <t>Introduzca un número con dos decimales como máximo. Debe ser igual o mayor a la "Cantidad Real Consumida"</t>
        </r>
      </text>
    </comment>
    <comment ref="E6402" authorId="2">
      <text>
        <r>
          <rPr>
            <sz val="11"/>
            <color theme="1"/>
            <rFont val="Calibri"/>
            <family val="2"/>
            <scheme val="minor"/>
          </rPr>
          <t>Introduzca un número con dos decimales como máximo</t>
        </r>
      </text>
    </comment>
    <comment ref="F6402" authorId="2">
      <text>
        <r>
          <rPr>
            <sz val="11"/>
            <color theme="1"/>
            <rFont val="Calibri"/>
            <family val="2"/>
            <scheme val="minor"/>
          </rPr>
          <t>Monto calculado automáticamente por el sistema</t>
        </r>
      </text>
    </comment>
    <comment ref="A6417" authorId="2">
      <text>
        <r>
          <rPr>
            <sz val="11"/>
            <color theme="1"/>
            <rFont val="Calibri"/>
            <family val="2"/>
            <scheme val="minor"/>
          </rPr>
          <t>Introducir un texto con el nombre o referencia de la contratación</t>
        </r>
      </text>
    </comment>
    <comment ref="B6417" authorId="2">
      <text>
        <r>
          <rPr>
            <sz val="11"/>
            <color theme="1"/>
            <rFont val="Calibri"/>
            <family val="2"/>
            <scheme val="minor"/>
          </rPr>
          <t>Introduzca un texto con la finalidad de la contratación</t>
        </r>
      </text>
    </comment>
    <comment ref="C6417" authorId="2">
      <text>
        <r>
          <rPr>
            <sz val="11"/>
            <color theme="1"/>
            <rFont val="Calibri"/>
            <family val="2"/>
            <scheme val="minor"/>
          </rPr>
          <t>Seleccionar un valor del listado</t>
        </r>
      </text>
    </comment>
    <comment ref="D6417" authorId="2">
      <text>
        <r>
          <rPr>
            <sz val="11"/>
            <color theme="1"/>
            <rFont val="Calibri"/>
            <family val="2"/>
            <scheme val="minor"/>
          </rPr>
          <t>Seleccione el tipo de procedimiento</t>
        </r>
      </text>
    </comment>
    <comment ref="E6417" authorId="2">
      <text>
        <r>
          <rPr>
            <sz val="11"/>
            <color theme="1"/>
            <rFont val="Calibri"/>
            <family val="2"/>
            <scheme val="minor"/>
          </rPr>
          <t>Seleccione un valor de la lista</t>
        </r>
      </text>
    </comment>
    <comment ref="F6417" authorId="2">
      <text>
        <r>
          <rPr>
            <sz val="11"/>
            <color theme="1"/>
            <rFont val="Calibri"/>
            <family val="2"/>
            <scheme val="minor"/>
          </rPr>
          <t>Introduzca el código SNIP</t>
        </r>
      </text>
    </comment>
    <comment ref="C6418" authorId="2">
      <text>
        <r>
          <rPr>
            <sz val="11"/>
            <color theme="1"/>
            <rFont val="Calibri"/>
            <family val="2"/>
            <scheme val="minor"/>
          </rPr>
          <t>Introduzca la fecha de inicio del proceso, en formato dd-mm-aaaa</t>
        </r>
      </text>
    </comment>
    <comment ref="F64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9" authorId="2">
      <text/>
    </comment>
    <comment ref="C6420" authorId="2">
      <text>
        <r>
          <rPr>
            <sz val="11"/>
            <color theme="1"/>
            <rFont val="Calibri"/>
            <family val="2"/>
            <scheme val="minor"/>
          </rPr>
          <t>Introduzca la fecha prevista de adjudicación, en formato dd-mm-aaaa</t>
        </r>
      </text>
    </comment>
    <comment ref="F6420" authorId="2">
      <text/>
    </comment>
    <comment ref="F6421" authorId="2">
      <text/>
    </comment>
    <comment ref="A6423" authorId="2">
      <text>
        <r>
          <rPr>
            <sz val="11"/>
            <color theme="1"/>
            <rFont val="Calibri"/>
            <family val="2"/>
            <scheme val="minor"/>
          </rPr>
          <t>Introduzca un codigo UNSPSC</t>
        </r>
      </text>
    </comment>
    <comment ref="B6423" authorId="2">
      <text>
        <r>
          <rPr>
            <sz val="11"/>
            <color theme="1"/>
            <rFont val="Calibri"/>
            <family val="2"/>
            <scheme val="minor"/>
          </rPr>
          <t>Descripción calculada automáticamente a partir de código del artículo</t>
        </r>
      </text>
    </comment>
    <comment ref="C6423" authorId="2">
      <text>
        <r>
          <rPr>
            <sz val="11"/>
            <color theme="1"/>
            <rFont val="Calibri"/>
            <family val="2"/>
            <scheme val="minor"/>
          </rPr>
          <t>Seleccione un valor de la lista</t>
        </r>
      </text>
    </comment>
    <comment ref="D6423" authorId="2">
      <text>
        <r>
          <rPr>
            <sz val="11"/>
            <color theme="1"/>
            <rFont val="Calibri"/>
            <family val="2"/>
            <scheme val="minor"/>
          </rPr>
          <t>Introduzca un número con dos decimales como máximo. Debe ser igual o mayor a la "Cantidad Real Consumida"</t>
        </r>
      </text>
    </comment>
    <comment ref="E6423" authorId="2">
      <text>
        <r>
          <rPr>
            <sz val="11"/>
            <color theme="1"/>
            <rFont val="Calibri"/>
            <family val="2"/>
            <scheme val="minor"/>
          </rPr>
          <t>Introduzca un número con dos decimales como máximo</t>
        </r>
      </text>
    </comment>
    <comment ref="F6423" authorId="2">
      <text>
        <r>
          <rPr>
            <sz val="11"/>
            <color theme="1"/>
            <rFont val="Calibri"/>
            <family val="2"/>
            <scheme val="minor"/>
          </rPr>
          <t>Monto calculado automáticamente por el sistema</t>
        </r>
      </text>
    </comment>
    <comment ref="A6428" authorId="2">
      <text>
        <r>
          <rPr>
            <sz val="11"/>
            <color theme="1"/>
            <rFont val="Calibri"/>
            <family val="2"/>
            <scheme val="minor"/>
          </rPr>
          <t>Introducir un texto con el nombre o referencia de la contratación</t>
        </r>
      </text>
    </comment>
    <comment ref="B6428" authorId="2">
      <text>
        <r>
          <rPr>
            <sz val="11"/>
            <color theme="1"/>
            <rFont val="Calibri"/>
            <family val="2"/>
            <scheme val="minor"/>
          </rPr>
          <t>Introduzca un texto con la finalidad de la contratación</t>
        </r>
      </text>
    </comment>
    <comment ref="C6428" authorId="2">
      <text>
        <r>
          <rPr>
            <sz val="11"/>
            <color theme="1"/>
            <rFont val="Calibri"/>
            <family val="2"/>
            <scheme val="minor"/>
          </rPr>
          <t>Seleccionar un valor del listado</t>
        </r>
      </text>
    </comment>
    <comment ref="D6428" authorId="2">
      <text>
        <r>
          <rPr>
            <sz val="11"/>
            <color theme="1"/>
            <rFont val="Calibri"/>
            <family val="2"/>
            <scheme val="minor"/>
          </rPr>
          <t>Seleccione el tipo de procedimiento</t>
        </r>
      </text>
    </comment>
    <comment ref="E6428" authorId="2">
      <text>
        <r>
          <rPr>
            <sz val="11"/>
            <color theme="1"/>
            <rFont val="Calibri"/>
            <family val="2"/>
            <scheme val="minor"/>
          </rPr>
          <t>Seleccione un valor de la lista</t>
        </r>
      </text>
    </comment>
    <comment ref="F6428" authorId="2">
      <text>
        <r>
          <rPr>
            <sz val="11"/>
            <color theme="1"/>
            <rFont val="Calibri"/>
            <family val="2"/>
            <scheme val="minor"/>
          </rPr>
          <t>Introduzca el código SNIP</t>
        </r>
      </text>
    </comment>
    <comment ref="C6429" authorId="2">
      <text>
        <r>
          <rPr>
            <sz val="11"/>
            <color theme="1"/>
            <rFont val="Calibri"/>
            <family val="2"/>
            <scheme val="minor"/>
          </rPr>
          <t>Introduzca la fecha de inicio del proceso, en formato dd-mm-aaaa</t>
        </r>
      </text>
    </comment>
    <comment ref="F642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0" authorId="2">
      <text/>
    </comment>
    <comment ref="C6431" authorId="2">
      <text>
        <r>
          <rPr>
            <sz val="11"/>
            <color theme="1"/>
            <rFont val="Calibri"/>
            <family val="2"/>
            <scheme val="minor"/>
          </rPr>
          <t>Introduzca la fecha prevista de adjudicación, en formato dd-mm-aaaa</t>
        </r>
      </text>
    </comment>
    <comment ref="F6431" authorId="2">
      <text/>
    </comment>
    <comment ref="F6432" authorId="2">
      <text/>
    </comment>
    <comment ref="A6434" authorId="2">
      <text>
        <r>
          <rPr>
            <sz val="11"/>
            <color theme="1"/>
            <rFont val="Calibri"/>
            <family val="2"/>
            <scheme val="minor"/>
          </rPr>
          <t>Introduzca un codigo UNSPSC</t>
        </r>
      </text>
    </comment>
    <comment ref="B6434" authorId="2">
      <text>
        <r>
          <rPr>
            <sz val="11"/>
            <color theme="1"/>
            <rFont val="Calibri"/>
            <family val="2"/>
            <scheme val="minor"/>
          </rPr>
          <t>Descripción calculada automáticamente a partir de código del artículo</t>
        </r>
      </text>
    </comment>
    <comment ref="C6434" authorId="2">
      <text>
        <r>
          <rPr>
            <sz val="11"/>
            <color theme="1"/>
            <rFont val="Calibri"/>
            <family val="2"/>
            <scheme val="minor"/>
          </rPr>
          <t>Seleccione un valor de la lista</t>
        </r>
      </text>
    </comment>
    <comment ref="D6434" authorId="2">
      <text>
        <r>
          <rPr>
            <sz val="11"/>
            <color theme="1"/>
            <rFont val="Calibri"/>
            <family val="2"/>
            <scheme val="minor"/>
          </rPr>
          <t>Introduzca un número con dos decimales como máximo. Debe ser igual o mayor a la "Cantidad Real Consumida"</t>
        </r>
      </text>
    </comment>
    <comment ref="E6434" authorId="2">
      <text>
        <r>
          <rPr>
            <sz val="11"/>
            <color theme="1"/>
            <rFont val="Calibri"/>
            <family val="2"/>
            <scheme val="minor"/>
          </rPr>
          <t>Introduzca un número con dos decimales como máximo</t>
        </r>
      </text>
    </comment>
    <comment ref="F6434" authorId="2">
      <text>
        <r>
          <rPr>
            <sz val="11"/>
            <color theme="1"/>
            <rFont val="Calibri"/>
            <family val="2"/>
            <scheme val="minor"/>
          </rPr>
          <t>Monto calculado automáticamente por el sistema</t>
        </r>
      </text>
    </comment>
    <comment ref="A6445" authorId="2">
      <text>
        <r>
          <rPr>
            <sz val="11"/>
            <color theme="1"/>
            <rFont val="Calibri"/>
            <family val="2"/>
            <scheme val="minor"/>
          </rPr>
          <t>Introducir un texto con el nombre o referencia de la contratación</t>
        </r>
      </text>
    </comment>
    <comment ref="B6445" authorId="2">
      <text>
        <r>
          <rPr>
            <sz val="11"/>
            <color theme="1"/>
            <rFont val="Calibri"/>
            <family val="2"/>
            <scheme val="minor"/>
          </rPr>
          <t>Introduzca un texto con la finalidad de la contratación</t>
        </r>
      </text>
    </comment>
    <comment ref="C6445" authorId="2">
      <text>
        <r>
          <rPr>
            <sz val="11"/>
            <color theme="1"/>
            <rFont val="Calibri"/>
            <family val="2"/>
            <scheme val="minor"/>
          </rPr>
          <t>Seleccionar un valor del listado</t>
        </r>
      </text>
    </comment>
    <comment ref="D6445" authorId="2">
      <text>
        <r>
          <rPr>
            <sz val="11"/>
            <color theme="1"/>
            <rFont val="Calibri"/>
            <family val="2"/>
            <scheme val="minor"/>
          </rPr>
          <t>Seleccione el tipo de procedimiento</t>
        </r>
      </text>
    </comment>
    <comment ref="E6445" authorId="2">
      <text>
        <r>
          <rPr>
            <sz val="11"/>
            <color theme="1"/>
            <rFont val="Calibri"/>
            <family val="2"/>
            <scheme val="minor"/>
          </rPr>
          <t>Seleccione un valor de la lista</t>
        </r>
      </text>
    </comment>
    <comment ref="F6445" authorId="2">
      <text>
        <r>
          <rPr>
            <sz val="11"/>
            <color theme="1"/>
            <rFont val="Calibri"/>
            <family val="2"/>
            <scheme val="minor"/>
          </rPr>
          <t>Introduzca el código SNIP</t>
        </r>
      </text>
    </comment>
    <comment ref="C6446" authorId="2">
      <text>
        <r>
          <rPr>
            <sz val="11"/>
            <color theme="1"/>
            <rFont val="Calibri"/>
            <family val="2"/>
            <scheme val="minor"/>
          </rPr>
          <t>Introduzca la fecha de inicio del proceso, en formato dd-mm-aaaa</t>
        </r>
      </text>
    </comment>
    <comment ref="F64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7" authorId="2">
      <text/>
    </comment>
    <comment ref="C6448" authorId="2">
      <text>
        <r>
          <rPr>
            <sz val="11"/>
            <color theme="1"/>
            <rFont val="Calibri"/>
            <family val="2"/>
            <scheme val="minor"/>
          </rPr>
          <t>Introduzca la fecha prevista de adjudicación, en formato dd-mm-aaaa</t>
        </r>
      </text>
    </comment>
    <comment ref="F6448" authorId="2">
      <text/>
    </comment>
    <comment ref="F6449" authorId="2">
      <text/>
    </comment>
    <comment ref="A6451" authorId="2">
      <text>
        <r>
          <rPr>
            <sz val="11"/>
            <color theme="1"/>
            <rFont val="Calibri"/>
            <family val="2"/>
            <scheme val="minor"/>
          </rPr>
          <t>Introduzca un codigo UNSPSC</t>
        </r>
      </text>
    </comment>
    <comment ref="B6451" authorId="2">
      <text>
        <r>
          <rPr>
            <sz val="11"/>
            <color theme="1"/>
            <rFont val="Calibri"/>
            <family val="2"/>
            <scheme val="minor"/>
          </rPr>
          <t>Descripción calculada automáticamente a partir de código del artículo</t>
        </r>
      </text>
    </comment>
    <comment ref="C6451" authorId="2">
      <text>
        <r>
          <rPr>
            <sz val="11"/>
            <color theme="1"/>
            <rFont val="Calibri"/>
            <family val="2"/>
            <scheme val="minor"/>
          </rPr>
          <t>Seleccione un valor de la lista</t>
        </r>
      </text>
    </comment>
    <comment ref="D6451" authorId="2">
      <text>
        <r>
          <rPr>
            <sz val="11"/>
            <color theme="1"/>
            <rFont val="Calibri"/>
            <family val="2"/>
            <scheme val="minor"/>
          </rPr>
          <t>Introduzca un número con dos decimales como máximo. Debe ser igual o mayor a la "Cantidad Real Consumida"</t>
        </r>
      </text>
    </comment>
    <comment ref="E6451" authorId="2">
      <text>
        <r>
          <rPr>
            <sz val="11"/>
            <color theme="1"/>
            <rFont val="Calibri"/>
            <family val="2"/>
            <scheme val="minor"/>
          </rPr>
          <t>Introduzca un número con dos decimales como máximo</t>
        </r>
      </text>
    </comment>
    <comment ref="F6451" authorId="2">
      <text>
        <r>
          <rPr>
            <sz val="11"/>
            <color theme="1"/>
            <rFont val="Calibri"/>
            <family val="2"/>
            <scheme val="minor"/>
          </rPr>
          <t>Monto calculado automáticamente por el sistema</t>
        </r>
      </text>
    </comment>
    <comment ref="A6479" authorId="2">
      <text>
        <r>
          <rPr>
            <sz val="11"/>
            <color theme="1"/>
            <rFont val="Calibri"/>
            <family val="2"/>
            <scheme val="minor"/>
          </rPr>
          <t>Introducir un texto con el nombre o referencia de la contratación</t>
        </r>
      </text>
    </comment>
    <comment ref="B6479" authorId="2">
      <text>
        <r>
          <rPr>
            <sz val="11"/>
            <color theme="1"/>
            <rFont val="Calibri"/>
            <family val="2"/>
            <scheme val="minor"/>
          </rPr>
          <t>Introduzca un texto con la finalidad de la contratación</t>
        </r>
      </text>
    </comment>
    <comment ref="C6479" authorId="2">
      <text>
        <r>
          <rPr>
            <sz val="11"/>
            <color theme="1"/>
            <rFont val="Calibri"/>
            <family val="2"/>
            <scheme val="minor"/>
          </rPr>
          <t>Seleccionar un valor del listado</t>
        </r>
      </text>
    </comment>
    <comment ref="D6479" authorId="2">
      <text>
        <r>
          <rPr>
            <sz val="11"/>
            <color theme="1"/>
            <rFont val="Calibri"/>
            <family val="2"/>
            <scheme val="minor"/>
          </rPr>
          <t>Seleccione el tipo de procedimiento</t>
        </r>
      </text>
    </comment>
    <comment ref="E6479" authorId="2">
      <text>
        <r>
          <rPr>
            <sz val="11"/>
            <color theme="1"/>
            <rFont val="Calibri"/>
            <family val="2"/>
            <scheme val="minor"/>
          </rPr>
          <t>Seleccione un valor de la lista</t>
        </r>
      </text>
    </comment>
    <comment ref="F6479" authorId="2">
      <text>
        <r>
          <rPr>
            <sz val="11"/>
            <color theme="1"/>
            <rFont val="Calibri"/>
            <family val="2"/>
            <scheme val="minor"/>
          </rPr>
          <t>Introduzca el código SNIP</t>
        </r>
      </text>
    </comment>
    <comment ref="C6480" authorId="2">
      <text>
        <r>
          <rPr>
            <sz val="11"/>
            <color theme="1"/>
            <rFont val="Calibri"/>
            <family val="2"/>
            <scheme val="minor"/>
          </rPr>
          <t>Introduzca la fecha de inicio del proceso, en formato dd-mm-aaaa</t>
        </r>
      </text>
    </comment>
    <comment ref="F64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1" authorId="2">
      <text/>
    </comment>
    <comment ref="C6482" authorId="2">
      <text>
        <r>
          <rPr>
            <sz val="11"/>
            <color theme="1"/>
            <rFont val="Calibri"/>
            <family val="2"/>
            <scheme val="minor"/>
          </rPr>
          <t>Introduzca la fecha prevista de adjudicación, en formato dd-mm-aaaa</t>
        </r>
      </text>
    </comment>
    <comment ref="F6482" authorId="2">
      <text/>
    </comment>
    <comment ref="F6483" authorId="2">
      <text/>
    </comment>
    <comment ref="A6485" authorId="2">
      <text>
        <r>
          <rPr>
            <sz val="11"/>
            <color theme="1"/>
            <rFont val="Calibri"/>
            <family val="2"/>
            <scheme val="minor"/>
          </rPr>
          <t>Introduzca un codigo UNSPSC</t>
        </r>
      </text>
    </comment>
    <comment ref="B6485" authorId="2">
      <text>
        <r>
          <rPr>
            <sz val="11"/>
            <color theme="1"/>
            <rFont val="Calibri"/>
            <family val="2"/>
            <scheme val="minor"/>
          </rPr>
          <t>Descripción calculada automáticamente a partir de código del artículo</t>
        </r>
      </text>
    </comment>
    <comment ref="C6485" authorId="2">
      <text>
        <r>
          <rPr>
            <sz val="11"/>
            <color theme="1"/>
            <rFont val="Calibri"/>
            <family val="2"/>
            <scheme val="minor"/>
          </rPr>
          <t>Seleccione un valor de la lista</t>
        </r>
      </text>
    </comment>
    <comment ref="D6485" authorId="2">
      <text>
        <r>
          <rPr>
            <sz val="11"/>
            <color theme="1"/>
            <rFont val="Calibri"/>
            <family val="2"/>
            <scheme val="minor"/>
          </rPr>
          <t>Introduzca un número con dos decimales como máximo. Debe ser igual o mayor a la "Cantidad Real Consumida"</t>
        </r>
      </text>
    </comment>
    <comment ref="E6485" authorId="2">
      <text>
        <r>
          <rPr>
            <sz val="11"/>
            <color theme="1"/>
            <rFont val="Calibri"/>
            <family val="2"/>
            <scheme val="minor"/>
          </rPr>
          <t>Introduzca un número con dos decimales como máximo</t>
        </r>
      </text>
    </comment>
    <comment ref="F6485" authorId="2">
      <text>
        <r>
          <rPr>
            <sz val="11"/>
            <color theme="1"/>
            <rFont val="Calibri"/>
            <family val="2"/>
            <scheme val="minor"/>
          </rPr>
          <t>Monto calculado automáticamente por el sistema</t>
        </r>
      </text>
    </comment>
    <comment ref="A6494" authorId="2">
      <text>
        <r>
          <rPr>
            <sz val="11"/>
            <color theme="1"/>
            <rFont val="Calibri"/>
            <family val="2"/>
            <scheme val="minor"/>
          </rPr>
          <t>Introducir un texto con el nombre o referencia de la contratación</t>
        </r>
      </text>
    </comment>
    <comment ref="B6494" authorId="2">
      <text>
        <r>
          <rPr>
            <sz val="11"/>
            <color theme="1"/>
            <rFont val="Calibri"/>
            <family val="2"/>
            <scheme val="minor"/>
          </rPr>
          <t>Introduzca un texto con la finalidad de la contratación</t>
        </r>
      </text>
    </comment>
    <comment ref="C6494" authorId="2">
      <text>
        <r>
          <rPr>
            <sz val="11"/>
            <color theme="1"/>
            <rFont val="Calibri"/>
            <family val="2"/>
            <scheme val="minor"/>
          </rPr>
          <t>Seleccionar un valor del listado</t>
        </r>
      </text>
    </comment>
    <comment ref="D6494" authorId="2">
      <text>
        <r>
          <rPr>
            <sz val="11"/>
            <color theme="1"/>
            <rFont val="Calibri"/>
            <family val="2"/>
            <scheme val="minor"/>
          </rPr>
          <t>Seleccione el tipo de procedimiento</t>
        </r>
      </text>
    </comment>
    <comment ref="E6494" authorId="2">
      <text>
        <r>
          <rPr>
            <sz val="11"/>
            <color theme="1"/>
            <rFont val="Calibri"/>
            <family val="2"/>
            <scheme val="minor"/>
          </rPr>
          <t>Seleccione un valor de la lista</t>
        </r>
      </text>
    </comment>
    <comment ref="F6494" authorId="2">
      <text>
        <r>
          <rPr>
            <sz val="11"/>
            <color theme="1"/>
            <rFont val="Calibri"/>
            <family val="2"/>
            <scheme val="minor"/>
          </rPr>
          <t>Introduzca el código SNIP</t>
        </r>
      </text>
    </comment>
    <comment ref="C6495" authorId="2">
      <text>
        <r>
          <rPr>
            <sz val="11"/>
            <color theme="1"/>
            <rFont val="Calibri"/>
            <family val="2"/>
            <scheme val="minor"/>
          </rPr>
          <t>Introduzca la fecha de inicio del proceso, en formato dd-mm-aaaa</t>
        </r>
      </text>
    </comment>
    <comment ref="F64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6" authorId="2">
      <text/>
    </comment>
    <comment ref="C6497" authorId="2">
      <text>
        <r>
          <rPr>
            <sz val="11"/>
            <color theme="1"/>
            <rFont val="Calibri"/>
            <family val="2"/>
            <scheme val="minor"/>
          </rPr>
          <t>Introduzca la fecha prevista de adjudicación, en formato dd-mm-aaaa</t>
        </r>
      </text>
    </comment>
    <comment ref="F6497" authorId="2">
      <text/>
    </comment>
    <comment ref="F6498" authorId="2">
      <text/>
    </comment>
    <comment ref="A6500" authorId="2">
      <text>
        <r>
          <rPr>
            <sz val="11"/>
            <color theme="1"/>
            <rFont val="Calibri"/>
            <family val="2"/>
            <scheme val="minor"/>
          </rPr>
          <t>Introduzca un codigo UNSPSC</t>
        </r>
      </text>
    </comment>
    <comment ref="B6500" authorId="2">
      <text>
        <r>
          <rPr>
            <sz val="11"/>
            <color theme="1"/>
            <rFont val="Calibri"/>
            <family val="2"/>
            <scheme val="minor"/>
          </rPr>
          <t>Descripción calculada automáticamente a partir de código del artículo</t>
        </r>
      </text>
    </comment>
    <comment ref="C6500" authorId="2">
      <text>
        <r>
          <rPr>
            <sz val="11"/>
            <color theme="1"/>
            <rFont val="Calibri"/>
            <family val="2"/>
            <scheme val="minor"/>
          </rPr>
          <t>Seleccione un valor de la lista</t>
        </r>
      </text>
    </comment>
    <comment ref="D6500" authorId="2">
      <text>
        <r>
          <rPr>
            <sz val="11"/>
            <color theme="1"/>
            <rFont val="Calibri"/>
            <family val="2"/>
            <scheme val="minor"/>
          </rPr>
          <t>Introduzca un número con dos decimales como máximo. Debe ser igual o mayor a la "Cantidad Real Consumida"</t>
        </r>
      </text>
    </comment>
    <comment ref="E6500" authorId="2">
      <text>
        <r>
          <rPr>
            <sz val="11"/>
            <color theme="1"/>
            <rFont val="Calibri"/>
            <family val="2"/>
            <scheme val="minor"/>
          </rPr>
          <t>Introduzca un número con dos decimales como máximo</t>
        </r>
      </text>
    </comment>
    <comment ref="F6500" authorId="2">
      <text>
        <r>
          <rPr>
            <sz val="11"/>
            <color theme="1"/>
            <rFont val="Calibri"/>
            <family val="2"/>
            <scheme val="minor"/>
          </rPr>
          <t>Monto calculado automáticamente por el sistema</t>
        </r>
      </text>
    </comment>
    <comment ref="A6507" authorId="2">
      <text>
        <r>
          <rPr>
            <sz val="11"/>
            <color theme="1"/>
            <rFont val="Calibri"/>
            <family val="2"/>
            <scheme val="minor"/>
          </rPr>
          <t>Introducir un texto con el nombre o referencia de la contratación</t>
        </r>
      </text>
    </comment>
    <comment ref="B6507" authorId="2">
      <text>
        <r>
          <rPr>
            <sz val="11"/>
            <color theme="1"/>
            <rFont val="Calibri"/>
            <family val="2"/>
            <scheme val="minor"/>
          </rPr>
          <t>Introduzca un texto con la finalidad de la contratación</t>
        </r>
      </text>
    </comment>
    <comment ref="C6507" authorId="2">
      <text>
        <r>
          <rPr>
            <sz val="11"/>
            <color theme="1"/>
            <rFont val="Calibri"/>
            <family val="2"/>
            <scheme val="minor"/>
          </rPr>
          <t>Seleccionar un valor del listado</t>
        </r>
      </text>
    </comment>
    <comment ref="D6507" authorId="2">
      <text>
        <r>
          <rPr>
            <sz val="11"/>
            <color theme="1"/>
            <rFont val="Calibri"/>
            <family val="2"/>
            <scheme val="minor"/>
          </rPr>
          <t>Seleccione el tipo de procedimiento</t>
        </r>
      </text>
    </comment>
    <comment ref="E6507" authorId="2">
      <text>
        <r>
          <rPr>
            <sz val="11"/>
            <color theme="1"/>
            <rFont val="Calibri"/>
            <family val="2"/>
            <scheme val="minor"/>
          </rPr>
          <t>Seleccione un valor de la lista</t>
        </r>
      </text>
    </comment>
    <comment ref="F6507" authorId="2">
      <text>
        <r>
          <rPr>
            <sz val="11"/>
            <color theme="1"/>
            <rFont val="Calibri"/>
            <family val="2"/>
            <scheme val="minor"/>
          </rPr>
          <t>Introduzca el código SNIP</t>
        </r>
      </text>
    </comment>
    <comment ref="C6508" authorId="2">
      <text>
        <r>
          <rPr>
            <sz val="11"/>
            <color theme="1"/>
            <rFont val="Calibri"/>
            <family val="2"/>
            <scheme val="minor"/>
          </rPr>
          <t>Introduzca la fecha de inicio del proceso, en formato dd-mm-aaaa</t>
        </r>
      </text>
    </comment>
    <comment ref="F65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9" authorId="2">
      <text/>
    </comment>
    <comment ref="C6510" authorId="2">
      <text>
        <r>
          <rPr>
            <sz val="11"/>
            <color theme="1"/>
            <rFont val="Calibri"/>
            <family val="2"/>
            <scheme val="minor"/>
          </rPr>
          <t>Introduzca la fecha prevista de adjudicación, en formato dd-mm-aaaa</t>
        </r>
      </text>
    </comment>
    <comment ref="F6510" authorId="2">
      <text/>
    </comment>
    <comment ref="F6511" authorId="2">
      <text/>
    </comment>
    <comment ref="A6513" authorId="2">
      <text>
        <r>
          <rPr>
            <sz val="11"/>
            <color theme="1"/>
            <rFont val="Calibri"/>
            <family val="2"/>
            <scheme val="minor"/>
          </rPr>
          <t>Introduzca un codigo UNSPSC</t>
        </r>
      </text>
    </comment>
    <comment ref="B6513" authorId="2">
      <text>
        <r>
          <rPr>
            <sz val="11"/>
            <color theme="1"/>
            <rFont val="Calibri"/>
            <family val="2"/>
            <scheme val="minor"/>
          </rPr>
          <t>Descripción calculada automáticamente a partir de código del artículo</t>
        </r>
      </text>
    </comment>
    <comment ref="C6513" authorId="2">
      <text>
        <r>
          <rPr>
            <sz val="11"/>
            <color theme="1"/>
            <rFont val="Calibri"/>
            <family val="2"/>
            <scheme val="minor"/>
          </rPr>
          <t>Seleccione un valor de la lista</t>
        </r>
      </text>
    </comment>
    <comment ref="D6513" authorId="2">
      <text>
        <r>
          <rPr>
            <sz val="11"/>
            <color theme="1"/>
            <rFont val="Calibri"/>
            <family val="2"/>
            <scheme val="minor"/>
          </rPr>
          <t>Introduzca un número con dos decimales como máximo. Debe ser igual o mayor a la "Cantidad Real Consumida"</t>
        </r>
      </text>
    </comment>
    <comment ref="E6513" authorId="2">
      <text>
        <r>
          <rPr>
            <sz val="11"/>
            <color theme="1"/>
            <rFont val="Calibri"/>
            <family val="2"/>
            <scheme val="minor"/>
          </rPr>
          <t>Introduzca un número con dos decimales como máximo</t>
        </r>
      </text>
    </comment>
    <comment ref="F6513" authorId="2">
      <text>
        <r>
          <rPr>
            <sz val="11"/>
            <color theme="1"/>
            <rFont val="Calibri"/>
            <family val="2"/>
            <scheme val="minor"/>
          </rPr>
          <t>Monto calculado automáticamente por el sistema</t>
        </r>
      </text>
    </comment>
    <comment ref="A6524" authorId="2">
      <text>
        <r>
          <rPr>
            <sz val="11"/>
            <color theme="1"/>
            <rFont val="Calibri"/>
            <family val="2"/>
            <scheme val="minor"/>
          </rPr>
          <t>Introducir un texto con el nombre o referencia de la contratación</t>
        </r>
      </text>
    </comment>
    <comment ref="B6524" authorId="2">
      <text>
        <r>
          <rPr>
            <sz val="11"/>
            <color theme="1"/>
            <rFont val="Calibri"/>
            <family val="2"/>
            <scheme val="minor"/>
          </rPr>
          <t>Introduzca un texto con la finalidad de la contratación</t>
        </r>
      </text>
    </comment>
    <comment ref="C6524" authorId="2">
      <text>
        <r>
          <rPr>
            <sz val="11"/>
            <color theme="1"/>
            <rFont val="Calibri"/>
            <family val="2"/>
            <scheme val="minor"/>
          </rPr>
          <t>Seleccionar un valor del listado</t>
        </r>
      </text>
    </comment>
    <comment ref="D6524" authorId="2">
      <text>
        <r>
          <rPr>
            <sz val="11"/>
            <color theme="1"/>
            <rFont val="Calibri"/>
            <family val="2"/>
            <scheme val="minor"/>
          </rPr>
          <t>Seleccione el tipo de procedimiento</t>
        </r>
      </text>
    </comment>
    <comment ref="E6524" authorId="2">
      <text>
        <r>
          <rPr>
            <sz val="11"/>
            <color theme="1"/>
            <rFont val="Calibri"/>
            <family val="2"/>
            <scheme val="minor"/>
          </rPr>
          <t>Seleccione un valor de la lista</t>
        </r>
      </text>
    </comment>
    <comment ref="F6524" authorId="2">
      <text>
        <r>
          <rPr>
            <sz val="11"/>
            <color theme="1"/>
            <rFont val="Calibri"/>
            <family val="2"/>
            <scheme val="minor"/>
          </rPr>
          <t>Introduzca el código SNIP</t>
        </r>
      </text>
    </comment>
    <comment ref="C6525" authorId="2">
      <text>
        <r>
          <rPr>
            <sz val="11"/>
            <color theme="1"/>
            <rFont val="Calibri"/>
            <family val="2"/>
            <scheme val="minor"/>
          </rPr>
          <t>Introduzca la fecha de inicio del proceso, en formato dd-mm-aaaa</t>
        </r>
      </text>
    </comment>
    <comment ref="F65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6" authorId="2">
      <text/>
    </comment>
    <comment ref="C6527" authorId="2">
      <text>
        <r>
          <rPr>
            <sz val="11"/>
            <color theme="1"/>
            <rFont val="Calibri"/>
            <family val="2"/>
            <scheme val="minor"/>
          </rPr>
          <t>Introduzca la fecha prevista de adjudicación, en formato dd-mm-aaaa</t>
        </r>
      </text>
    </comment>
    <comment ref="F6527" authorId="2">
      <text/>
    </comment>
    <comment ref="F6528" authorId="2">
      <text/>
    </comment>
    <comment ref="A6530" authorId="2">
      <text>
        <r>
          <rPr>
            <sz val="11"/>
            <color theme="1"/>
            <rFont val="Calibri"/>
            <family val="2"/>
            <scheme val="minor"/>
          </rPr>
          <t>Introduzca un codigo UNSPSC</t>
        </r>
      </text>
    </comment>
    <comment ref="B6530" authorId="2">
      <text>
        <r>
          <rPr>
            <sz val="11"/>
            <color theme="1"/>
            <rFont val="Calibri"/>
            <family val="2"/>
            <scheme val="minor"/>
          </rPr>
          <t>Descripción calculada automáticamente a partir de código del artículo</t>
        </r>
      </text>
    </comment>
    <comment ref="C6530" authorId="2">
      <text>
        <r>
          <rPr>
            <sz val="11"/>
            <color theme="1"/>
            <rFont val="Calibri"/>
            <family val="2"/>
            <scheme val="minor"/>
          </rPr>
          <t>Seleccione un valor de la lista</t>
        </r>
      </text>
    </comment>
    <comment ref="D6530" authorId="2">
      <text>
        <r>
          <rPr>
            <sz val="11"/>
            <color theme="1"/>
            <rFont val="Calibri"/>
            <family val="2"/>
            <scheme val="minor"/>
          </rPr>
          <t>Introduzca un número con dos decimales como máximo. Debe ser igual o mayor a la "Cantidad Real Consumida"</t>
        </r>
      </text>
    </comment>
    <comment ref="E6530" authorId="2">
      <text>
        <r>
          <rPr>
            <sz val="11"/>
            <color theme="1"/>
            <rFont val="Calibri"/>
            <family val="2"/>
            <scheme val="minor"/>
          </rPr>
          <t>Introduzca un número con dos decimales como máximo</t>
        </r>
      </text>
    </comment>
    <comment ref="F6530" authorId="2">
      <text>
        <r>
          <rPr>
            <sz val="11"/>
            <color theme="1"/>
            <rFont val="Calibri"/>
            <family val="2"/>
            <scheme val="minor"/>
          </rPr>
          <t>Monto calculado automáticamente por el sistema</t>
        </r>
      </text>
    </comment>
    <comment ref="A6535" authorId="2">
      <text>
        <r>
          <rPr>
            <sz val="11"/>
            <color theme="1"/>
            <rFont val="Calibri"/>
            <family val="2"/>
            <scheme val="minor"/>
          </rPr>
          <t>Introducir un texto con el nombre o referencia de la contratación</t>
        </r>
      </text>
    </comment>
    <comment ref="B6535" authorId="2">
      <text>
        <r>
          <rPr>
            <sz val="11"/>
            <color theme="1"/>
            <rFont val="Calibri"/>
            <family val="2"/>
            <scheme val="minor"/>
          </rPr>
          <t>Introduzca un texto con la finalidad de la contratación</t>
        </r>
      </text>
    </comment>
    <comment ref="C6535" authorId="2">
      <text>
        <r>
          <rPr>
            <sz val="11"/>
            <color theme="1"/>
            <rFont val="Calibri"/>
            <family val="2"/>
            <scheme val="minor"/>
          </rPr>
          <t>Seleccionar un valor del listado</t>
        </r>
      </text>
    </comment>
    <comment ref="D6535" authorId="2">
      <text>
        <r>
          <rPr>
            <sz val="11"/>
            <color theme="1"/>
            <rFont val="Calibri"/>
            <family val="2"/>
            <scheme val="minor"/>
          </rPr>
          <t>Seleccione el tipo de procedimiento</t>
        </r>
      </text>
    </comment>
    <comment ref="E6535" authorId="2">
      <text>
        <r>
          <rPr>
            <sz val="11"/>
            <color theme="1"/>
            <rFont val="Calibri"/>
            <family val="2"/>
            <scheme val="minor"/>
          </rPr>
          <t>Seleccione un valor de la lista</t>
        </r>
      </text>
    </comment>
    <comment ref="F6535" authorId="2">
      <text>
        <r>
          <rPr>
            <sz val="11"/>
            <color theme="1"/>
            <rFont val="Calibri"/>
            <family val="2"/>
            <scheme val="minor"/>
          </rPr>
          <t>Introduzca el código SNIP</t>
        </r>
      </text>
    </comment>
    <comment ref="C6536" authorId="2">
      <text>
        <r>
          <rPr>
            <sz val="11"/>
            <color theme="1"/>
            <rFont val="Calibri"/>
            <family val="2"/>
            <scheme val="minor"/>
          </rPr>
          <t>Introduzca la fecha de inicio del proceso, en formato dd-mm-aaaa</t>
        </r>
      </text>
    </comment>
    <comment ref="F65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7" authorId="2">
      <text/>
    </comment>
    <comment ref="C6538" authorId="2">
      <text>
        <r>
          <rPr>
            <sz val="11"/>
            <color theme="1"/>
            <rFont val="Calibri"/>
            <family val="2"/>
            <scheme val="minor"/>
          </rPr>
          <t>Introduzca la fecha prevista de adjudicación, en formato dd-mm-aaaa</t>
        </r>
      </text>
    </comment>
    <comment ref="F6538" authorId="2">
      <text/>
    </comment>
    <comment ref="F6539" authorId="2">
      <text/>
    </comment>
    <comment ref="A6541" authorId="2">
      <text>
        <r>
          <rPr>
            <sz val="11"/>
            <color theme="1"/>
            <rFont val="Calibri"/>
            <family val="2"/>
            <scheme val="minor"/>
          </rPr>
          <t>Introduzca un codigo UNSPSC</t>
        </r>
      </text>
    </comment>
    <comment ref="B6541" authorId="2">
      <text>
        <r>
          <rPr>
            <sz val="11"/>
            <color theme="1"/>
            <rFont val="Calibri"/>
            <family val="2"/>
            <scheme val="minor"/>
          </rPr>
          <t>Descripción calculada automáticamente a partir de código del artículo</t>
        </r>
      </text>
    </comment>
    <comment ref="C6541" authorId="2">
      <text>
        <r>
          <rPr>
            <sz val="11"/>
            <color theme="1"/>
            <rFont val="Calibri"/>
            <family val="2"/>
            <scheme val="minor"/>
          </rPr>
          <t>Seleccione un valor de la lista</t>
        </r>
      </text>
    </comment>
    <comment ref="D6541" authorId="2">
      <text>
        <r>
          <rPr>
            <sz val="11"/>
            <color theme="1"/>
            <rFont val="Calibri"/>
            <family val="2"/>
            <scheme val="minor"/>
          </rPr>
          <t>Introduzca un número con dos decimales como máximo. Debe ser igual o mayor a la "Cantidad Real Consumida"</t>
        </r>
      </text>
    </comment>
    <comment ref="E6541" authorId="2">
      <text>
        <r>
          <rPr>
            <sz val="11"/>
            <color theme="1"/>
            <rFont val="Calibri"/>
            <family val="2"/>
            <scheme val="minor"/>
          </rPr>
          <t>Introduzca un número con dos decimales como máximo</t>
        </r>
      </text>
    </comment>
    <comment ref="F6541" authorId="2">
      <text>
        <r>
          <rPr>
            <sz val="11"/>
            <color theme="1"/>
            <rFont val="Calibri"/>
            <family val="2"/>
            <scheme val="minor"/>
          </rPr>
          <t>Monto calculado automáticamente por el sistema</t>
        </r>
      </text>
    </comment>
    <comment ref="A6547" authorId="2">
      <text>
        <r>
          <rPr>
            <sz val="11"/>
            <color theme="1"/>
            <rFont val="Calibri"/>
            <family val="2"/>
            <scheme val="minor"/>
          </rPr>
          <t>Introducir un texto con el nombre o referencia de la contratación</t>
        </r>
      </text>
    </comment>
    <comment ref="B6547" authorId="2">
      <text>
        <r>
          <rPr>
            <sz val="11"/>
            <color theme="1"/>
            <rFont val="Calibri"/>
            <family val="2"/>
            <scheme val="minor"/>
          </rPr>
          <t>Introduzca un texto con la finalidad de la contratación</t>
        </r>
      </text>
    </comment>
    <comment ref="C6547" authorId="2">
      <text>
        <r>
          <rPr>
            <sz val="11"/>
            <color theme="1"/>
            <rFont val="Calibri"/>
            <family val="2"/>
            <scheme val="minor"/>
          </rPr>
          <t>Seleccionar un valor del listado</t>
        </r>
      </text>
    </comment>
    <comment ref="D6547" authorId="2">
      <text>
        <r>
          <rPr>
            <sz val="11"/>
            <color theme="1"/>
            <rFont val="Calibri"/>
            <family val="2"/>
            <scheme val="minor"/>
          </rPr>
          <t>Seleccione el tipo de procedimiento</t>
        </r>
      </text>
    </comment>
    <comment ref="E6547" authorId="2">
      <text>
        <r>
          <rPr>
            <sz val="11"/>
            <color theme="1"/>
            <rFont val="Calibri"/>
            <family val="2"/>
            <scheme val="minor"/>
          </rPr>
          <t>Seleccione un valor de la lista</t>
        </r>
      </text>
    </comment>
    <comment ref="F6547" authorId="2">
      <text>
        <r>
          <rPr>
            <sz val="11"/>
            <color theme="1"/>
            <rFont val="Calibri"/>
            <family val="2"/>
            <scheme val="minor"/>
          </rPr>
          <t>Introduzca el código SNIP</t>
        </r>
      </text>
    </comment>
    <comment ref="C6548" authorId="2">
      <text>
        <r>
          <rPr>
            <sz val="11"/>
            <color theme="1"/>
            <rFont val="Calibri"/>
            <family val="2"/>
            <scheme val="minor"/>
          </rPr>
          <t>Introduzca la fecha de inicio del proceso, en formato dd-mm-aaaa</t>
        </r>
      </text>
    </comment>
    <comment ref="F65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9" authorId="2">
      <text/>
    </comment>
    <comment ref="C6550" authorId="2">
      <text>
        <r>
          <rPr>
            <sz val="11"/>
            <color theme="1"/>
            <rFont val="Calibri"/>
            <family val="2"/>
            <scheme val="minor"/>
          </rPr>
          <t>Introduzca la fecha prevista de adjudicación, en formato dd-mm-aaaa</t>
        </r>
      </text>
    </comment>
    <comment ref="F6550" authorId="2">
      <text/>
    </comment>
    <comment ref="F6551" authorId="2">
      <text/>
    </comment>
    <comment ref="A6553" authorId="2">
      <text>
        <r>
          <rPr>
            <sz val="11"/>
            <color theme="1"/>
            <rFont val="Calibri"/>
            <family val="2"/>
            <scheme val="minor"/>
          </rPr>
          <t>Introduzca un codigo UNSPSC</t>
        </r>
      </text>
    </comment>
    <comment ref="B6553" authorId="2">
      <text>
        <r>
          <rPr>
            <sz val="11"/>
            <color theme="1"/>
            <rFont val="Calibri"/>
            <family val="2"/>
            <scheme val="minor"/>
          </rPr>
          <t>Descripción calculada automáticamente a partir de código del artículo</t>
        </r>
      </text>
    </comment>
    <comment ref="C6553" authorId="2">
      <text>
        <r>
          <rPr>
            <sz val="11"/>
            <color theme="1"/>
            <rFont val="Calibri"/>
            <family val="2"/>
            <scheme val="minor"/>
          </rPr>
          <t>Seleccione un valor de la lista</t>
        </r>
      </text>
    </comment>
    <comment ref="D6553" authorId="2">
      <text>
        <r>
          <rPr>
            <sz val="11"/>
            <color theme="1"/>
            <rFont val="Calibri"/>
            <family val="2"/>
            <scheme val="minor"/>
          </rPr>
          <t>Introduzca un número con dos decimales como máximo. Debe ser igual o mayor a la "Cantidad Real Consumida"</t>
        </r>
      </text>
    </comment>
    <comment ref="E6553" authorId="2">
      <text>
        <r>
          <rPr>
            <sz val="11"/>
            <color theme="1"/>
            <rFont val="Calibri"/>
            <family val="2"/>
            <scheme val="minor"/>
          </rPr>
          <t>Introduzca un número con dos decimales como máximo</t>
        </r>
      </text>
    </comment>
    <comment ref="F6553" authorId="2">
      <text>
        <r>
          <rPr>
            <sz val="11"/>
            <color theme="1"/>
            <rFont val="Calibri"/>
            <family val="2"/>
            <scheme val="minor"/>
          </rPr>
          <t>Monto calculado automáticamente por el sistema</t>
        </r>
      </text>
    </comment>
    <comment ref="A6558" authorId="2">
      <text>
        <r>
          <rPr>
            <sz val="11"/>
            <color theme="1"/>
            <rFont val="Calibri"/>
            <family val="2"/>
            <scheme val="minor"/>
          </rPr>
          <t>Introducir un texto con el nombre o referencia de la contratación</t>
        </r>
      </text>
    </comment>
    <comment ref="B6558" authorId="2">
      <text>
        <r>
          <rPr>
            <sz val="11"/>
            <color theme="1"/>
            <rFont val="Calibri"/>
            <family val="2"/>
            <scheme val="minor"/>
          </rPr>
          <t>Introduzca un texto con la finalidad de la contratación</t>
        </r>
      </text>
    </comment>
    <comment ref="C6558" authorId="2">
      <text>
        <r>
          <rPr>
            <sz val="11"/>
            <color theme="1"/>
            <rFont val="Calibri"/>
            <family val="2"/>
            <scheme val="minor"/>
          </rPr>
          <t>Seleccionar un valor del listado</t>
        </r>
      </text>
    </comment>
    <comment ref="D6558" authorId="2">
      <text>
        <r>
          <rPr>
            <sz val="11"/>
            <color theme="1"/>
            <rFont val="Calibri"/>
            <family val="2"/>
            <scheme val="minor"/>
          </rPr>
          <t>Seleccione el tipo de procedimiento</t>
        </r>
      </text>
    </comment>
    <comment ref="E6558" authorId="2">
      <text>
        <r>
          <rPr>
            <sz val="11"/>
            <color theme="1"/>
            <rFont val="Calibri"/>
            <family val="2"/>
            <scheme val="minor"/>
          </rPr>
          <t>Seleccione un valor de la lista</t>
        </r>
      </text>
    </comment>
    <comment ref="F6558" authorId="2">
      <text>
        <r>
          <rPr>
            <sz val="11"/>
            <color theme="1"/>
            <rFont val="Calibri"/>
            <family val="2"/>
            <scheme val="minor"/>
          </rPr>
          <t>Introduzca el código SNIP</t>
        </r>
      </text>
    </comment>
    <comment ref="C6559" authorId="2">
      <text>
        <r>
          <rPr>
            <sz val="11"/>
            <color theme="1"/>
            <rFont val="Calibri"/>
            <family val="2"/>
            <scheme val="minor"/>
          </rPr>
          <t>Introduzca la fecha de inicio del proceso, en formato dd-mm-aaaa</t>
        </r>
      </text>
    </comment>
    <comment ref="F65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0" authorId="2">
      <text/>
    </comment>
    <comment ref="C6561" authorId="2">
      <text>
        <r>
          <rPr>
            <sz val="11"/>
            <color theme="1"/>
            <rFont val="Calibri"/>
            <family val="2"/>
            <scheme val="minor"/>
          </rPr>
          <t>Introduzca la fecha prevista de adjudicación, en formato dd-mm-aaaa</t>
        </r>
      </text>
    </comment>
    <comment ref="F6561" authorId="2">
      <text/>
    </comment>
    <comment ref="F6562" authorId="2">
      <text/>
    </comment>
    <comment ref="A6564" authorId="2">
      <text>
        <r>
          <rPr>
            <sz val="11"/>
            <color theme="1"/>
            <rFont val="Calibri"/>
            <family val="2"/>
            <scheme val="minor"/>
          </rPr>
          <t>Introduzca un codigo UNSPSC</t>
        </r>
      </text>
    </comment>
    <comment ref="B6564" authorId="2">
      <text>
        <r>
          <rPr>
            <sz val="11"/>
            <color theme="1"/>
            <rFont val="Calibri"/>
            <family val="2"/>
            <scheme val="minor"/>
          </rPr>
          <t>Descripción calculada automáticamente a partir de código del artículo</t>
        </r>
      </text>
    </comment>
    <comment ref="C6564" authorId="2">
      <text>
        <r>
          <rPr>
            <sz val="11"/>
            <color theme="1"/>
            <rFont val="Calibri"/>
            <family val="2"/>
            <scheme val="minor"/>
          </rPr>
          <t>Seleccione un valor de la lista</t>
        </r>
      </text>
    </comment>
    <comment ref="D6564" authorId="2">
      <text>
        <r>
          <rPr>
            <sz val="11"/>
            <color theme="1"/>
            <rFont val="Calibri"/>
            <family val="2"/>
            <scheme val="minor"/>
          </rPr>
          <t>Introduzca un número con dos decimales como máximo. Debe ser igual o mayor a la "Cantidad Real Consumida"</t>
        </r>
      </text>
    </comment>
    <comment ref="E6564" authorId="2">
      <text>
        <r>
          <rPr>
            <sz val="11"/>
            <color theme="1"/>
            <rFont val="Calibri"/>
            <family val="2"/>
            <scheme val="minor"/>
          </rPr>
          <t>Introduzca un número con dos decimales como máximo</t>
        </r>
      </text>
    </comment>
    <comment ref="F6564" authorId="2">
      <text>
        <r>
          <rPr>
            <sz val="11"/>
            <color theme="1"/>
            <rFont val="Calibri"/>
            <family val="2"/>
            <scheme val="minor"/>
          </rPr>
          <t>Monto calculado automáticamente por el sistema</t>
        </r>
      </text>
    </comment>
    <comment ref="A6569" authorId="2">
      <text>
        <r>
          <rPr>
            <sz val="11"/>
            <color theme="1"/>
            <rFont val="Calibri"/>
            <family val="2"/>
            <scheme val="minor"/>
          </rPr>
          <t>Introducir un texto con el nombre o referencia de la contratación</t>
        </r>
      </text>
    </comment>
    <comment ref="B6569" authorId="2">
      <text>
        <r>
          <rPr>
            <sz val="11"/>
            <color theme="1"/>
            <rFont val="Calibri"/>
            <family val="2"/>
            <scheme val="minor"/>
          </rPr>
          <t>Introduzca un texto con la finalidad de la contratación</t>
        </r>
      </text>
    </comment>
    <comment ref="C6569" authorId="2">
      <text>
        <r>
          <rPr>
            <sz val="11"/>
            <color theme="1"/>
            <rFont val="Calibri"/>
            <family val="2"/>
            <scheme val="minor"/>
          </rPr>
          <t>Seleccionar un valor del listado</t>
        </r>
      </text>
    </comment>
    <comment ref="D6569" authorId="2">
      <text>
        <r>
          <rPr>
            <sz val="11"/>
            <color theme="1"/>
            <rFont val="Calibri"/>
            <family val="2"/>
            <scheme val="minor"/>
          </rPr>
          <t>Seleccione el tipo de procedimiento</t>
        </r>
      </text>
    </comment>
    <comment ref="E6569" authorId="2">
      <text>
        <r>
          <rPr>
            <sz val="11"/>
            <color theme="1"/>
            <rFont val="Calibri"/>
            <family val="2"/>
            <scheme val="minor"/>
          </rPr>
          <t>Seleccione un valor de la lista</t>
        </r>
      </text>
    </comment>
    <comment ref="F6569" authorId="2">
      <text>
        <r>
          <rPr>
            <sz val="11"/>
            <color theme="1"/>
            <rFont val="Calibri"/>
            <family val="2"/>
            <scheme val="minor"/>
          </rPr>
          <t>Introduzca el código SNIP</t>
        </r>
      </text>
    </comment>
    <comment ref="C6570" authorId="2">
      <text>
        <r>
          <rPr>
            <sz val="11"/>
            <color theme="1"/>
            <rFont val="Calibri"/>
            <family val="2"/>
            <scheme val="minor"/>
          </rPr>
          <t>Introduzca la fecha de inicio del proceso, en formato dd-mm-aaaa</t>
        </r>
      </text>
    </comment>
    <comment ref="F65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1" authorId="2">
      <text/>
    </comment>
    <comment ref="C6572" authorId="2">
      <text>
        <r>
          <rPr>
            <sz val="11"/>
            <color theme="1"/>
            <rFont val="Calibri"/>
            <family val="2"/>
            <scheme val="minor"/>
          </rPr>
          <t>Introduzca la fecha prevista de adjudicación, en formato dd-mm-aaaa</t>
        </r>
      </text>
    </comment>
    <comment ref="F6572" authorId="2">
      <text/>
    </comment>
    <comment ref="F6573" authorId="2">
      <text/>
    </comment>
    <comment ref="A6575" authorId="2">
      <text>
        <r>
          <rPr>
            <sz val="11"/>
            <color theme="1"/>
            <rFont val="Calibri"/>
            <family val="2"/>
            <scheme val="minor"/>
          </rPr>
          <t>Introduzca un codigo UNSPSC</t>
        </r>
      </text>
    </comment>
    <comment ref="B6575" authorId="2">
      <text>
        <r>
          <rPr>
            <sz val="11"/>
            <color theme="1"/>
            <rFont val="Calibri"/>
            <family val="2"/>
            <scheme val="minor"/>
          </rPr>
          <t>Descripción calculada automáticamente a partir de código del artículo</t>
        </r>
      </text>
    </comment>
    <comment ref="C6575" authorId="2">
      <text>
        <r>
          <rPr>
            <sz val="11"/>
            <color theme="1"/>
            <rFont val="Calibri"/>
            <family val="2"/>
            <scheme val="minor"/>
          </rPr>
          <t>Seleccione un valor de la lista</t>
        </r>
      </text>
    </comment>
    <comment ref="D6575" authorId="2">
      <text>
        <r>
          <rPr>
            <sz val="11"/>
            <color theme="1"/>
            <rFont val="Calibri"/>
            <family val="2"/>
            <scheme val="minor"/>
          </rPr>
          <t>Introduzca un número con dos decimales como máximo. Debe ser igual o mayor a la "Cantidad Real Consumida"</t>
        </r>
      </text>
    </comment>
    <comment ref="E6575" authorId="2">
      <text>
        <r>
          <rPr>
            <sz val="11"/>
            <color theme="1"/>
            <rFont val="Calibri"/>
            <family val="2"/>
            <scheme val="minor"/>
          </rPr>
          <t>Introduzca un número con dos decimales como máximo</t>
        </r>
      </text>
    </comment>
    <comment ref="F6575" authorId="2">
      <text>
        <r>
          <rPr>
            <sz val="11"/>
            <color theme="1"/>
            <rFont val="Calibri"/>
            <family val="2"/>
            <scheme val="minor"/>
          </rPr>
          <t>Monto calculado automáticamente por el sistema</t>
        </r>
      </text>
    </comment>
    <comment ref="A6580" authorId="2">
      <text>
        <r>
          <rPr>
            <sz val="11"/>
            <color theme="1"/>
            <rFont val="Calibri"/>
            <family val="2"/>
            <scheme val="minor"/>
          </rPr>
          <t>Introducir un texto con el nombre o referencia de la contratación</t>
        </r>
      </text>
    </comment>
    <comment ref="B6580" authorId="2">
      <text>
        <r>
          <rPr>
            <sz val="11"/>
            <color theme="1"/>
            <rFont val="Calibri"/>
            <family val="2"/>
            <scheme val="minor"/>
          </rPr>
          <t>Introduzca un texto con la finalidad de la contratación</t>
        </r>
      </text>
    </comment>
    <comment ref="C6580" authorId="2">
      <text>
        <r>
          <rPr>
            <sz val="11"/>
            <color theme="1"/>
            <rFont val="Calibri"/>
            <family val="2"/>
            <scheme val="minor"/>
          </rPr>
          <t>Seleccionar un valor del listado</t>
        </r>
      </text>
    </comment>
    <comment ref="D6580" authorId="2">
      <text>
        <r>
          <rPr>
            <sz val="11"/>
            <color theme="1"/>
            <rFont val="Calibri"/>
            <family val="2"/>
            <scheme val="minor"/>
          </rPr>
          <t>Seleccione el tipo de procedimiento</t>
        </r>
      </text>
    </comment>
    <comment ref="E6580" authorId="2">
      <text>
        <r>
          <rPr>
            <sz val="11"/>
            <color theme="1"/>
            <rFont val="Calibri"/>
            <family val="2"/>
            <scheme val="minor"/>
          </rPr>
          <t>Seleccione un valor de la lista</t>
        </r>
      </text>
    </comment>
    <comment ref="F6580" authorId="2">
      <text>
        <r>
          <rPr>
            <sz val="11"/>
            <color theme="1"/>
            <rFont val="Calibri"/>
            <family val="2"/>
            <scheme val="minor"/>
          </rPr>
          <t>Introduzca el código SNIP</t>
        </r>
      </text>
    </comment>
    <comment ref="C6581" authorId="2">
      <text>
        <r>
          <rPr>
            <sz val="11"/>
            <color theme="1"/>
            <rFont val="Calibri"/>
            <family val="2"/>
            <scheme val="minor"/>
          </rPr>
          <t>Introduzca la fecha de inicio del proceso, en formato dd-mm-aaaa</t>
        </r>
      </text>
    </comment>
    <comment ref="F658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2" authorId="2">
      <text/>
    </comment>
    <comment ref="C6583" authorId="2">
      <text>
        <r>
          <rPr>
            <sz val="11"/>
            <color theme="1"/>
            <rFont val="Calibri"/>
            <family val="2"/>
            <scheme val="minor"/>
          </rPr>
          <t>Introduzca la fecha prevista de adjudicación, en formato dd-mm-aaaa</t>
        </r>
      </text>
    </comment>
    <comment ref="F6583" authorId="2">
      <text/>
    </comment>
    <comment ref="F6584" authorId="2">
      <text/>
    </comment>
    <comment ref="A6586" authorId="2">
      <text>
        <r>
          <rPr>
            <sz val="11"/>
            <color theme="1"/>
            <rFont val="Calibri"/>
            <family val="2"/>
            <scheme val="minor"/>
          </rPr>
          <t>Introduzca un codigo UNSPSC</t>
        </r>
      </text>
    </comment>
    <comment ref="B6586" authorId="2">
      <text>
        <r>
          <rPr>
            <sz val="11"/>
            <color theme="1"/>
            <rFont val="Calibri"/>
            <family val="2"/>
            <scheme val="minor"/>
          </rPr>
          <t>Descripción calculada automáticamente a partir de código del artículo</t>
        </r>
      </text>
    </comment>
    <comment ref="C6586" authorId="2">
      <text>
        <r>
          <rPr>
            <sz val="11"/>
            <color theme="1"/>
            <rFont val="Calibri"/>
            <family val="2"/>
            <scheme val="minor"/>
          </rPr>
          <t>Seleccione un valor de la lista</t>
        </r>
      </text>
    </comment>
    <comment ref="D6586" authorId="2">
      <text>
        <r>
          <rPr>
            <sz val="11"/>
            <color theme="1"/>
            <rFont val="Calibri"/>
            <family val="2"/>
            <scheme val="minor"/>
          </rPr>
          <t>Introduzca un número con dos decimales como máximo. Debe ser igual o mayor a la "Cantidad Real Consumida"</t>
        </r>
      </text>
    </comment>
    <comment ref="E6586" authorId="2">
      <text>
        <r>
          <rPr>
            <sz val="11"/>
            <color theme="1"/>
            <rFont val="Calibri"/>
            <family val="2"/>
            <scheme val="minor"/>
          </rPr>
          <t>Introduzca un número con dos decimales como máximo</t>
        </r>
      </text>
    </comment>
    <comment ref="F6586" authorId="2">
      <text>
        <r>
          <rPr>
            <sz val="11"/>
            <color theme="1"/>
            <rFont val="Calibri"/>
            <family val="2"/>
            <scheme val="minor"/>
          </rPr>
          <t>Monto calculado automáticamente por el sistema</t>
        </r>
      </text>
    </comment>
    <comment ref="A6591" authorId="2">
      <text>
        <r>
          <rPr>
            <sz val="11"/>
            <color theme="1"/>
            <rFont val="Calibri"/>
            <family val="2"/>
            <scheme val="minor"/>
          </rPr>
          <t>Introducir un texto con el nombre o referencia de la contratación</t>
        </r>
      </text>
    </comment>
    <comment ref="B6591" authorId="2">
      <text>
        <r>
          <rPr>
            <sz val="11"/>
            <color theme="1"/>
            <rFont val="Calibri"/>
            <family val="2"/>
            <scheme val="minor"/>
          </rPr>
          <t>Introduzca un texto con la finalidad de la contratación</t>
        </r>
      </text>
    </comment>
    <comment ref="C6591" authorId="2">
      <text>
        <r>
          <rPr>
            <sz val="11"/>
            <color theme="1"/>
            <rFont val="Calibri"/>
            <family val="2"/>
            <scheme val="minor"/>
          </rPr>
          <t>Seleccionar un valor del listado</t>
        </r>
      </text>
    </comment>
    <comment ref="D6591" authorId="2">
      <text>
        <r>
          <rPr>
            <sz val="11"/>
            <color theme="1"/>
            <rFont val="Calibri"/>
            <family val="2"/>
            <scheme val="minor"/>
          </rPr>
          <t>Seleccione el tipo de procedimiento</t>
        </r>
      </text>
    </comment>
    <comment ref="E6591" authorId="2">
      <text>
        <r>
          <rPr>
            <sz val="11"/>
            <color theme="1"/>
            <rFont val="Calibri"/>
            <family val="2"/>
            <scheme val="minor"/>
          </rPr>
          <t>Seleccione un valor de la lista</t>
        </r>
      </text>
    </comment>
    <comment ref="F6591" authorId="2">
      <text>
        <r>
          <rPr>
            <sz val="11"/>
            <color theme="1"/>
            <rFont val="Calibri"/>
            <family val="2"/>
            <scheme val="minor"/>
          </rPr>
          <t>Introduzca el código SNIP</t>
        </r>
      </text>
    </comment>
    <comment ref="C6592" authorId="2">
      <text>
        <r>
          <rPr>
            <sz val="11"/>
            <color theme="1"/>
            <rFont val="Calibri"/>
            <family val="2"/>
            <scheme val="minor"/>
          </rPr>
          <t>Introduzca la fecha de inicio del proceso, en formato dd-mm-aaaa</t>
        </r>
      </text>
    </comment>
    <comment ref="F65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3" authorId="2">
      <text/>
    </comment>
    <comment ref="C6594" authorId="2">
      <text>
        <r>
          <rPr>
            <sz val="11"/>
            <color theme="1"/>
            <rFont val="Calibri"/>
            <family val="2"/>
            <scheme val="minor"/>
          </rPr>
          <t>Introduzca la fecha prevista de adjudicación, en formato dd-mm-aaaa</t>
        </r>
      </text>
    </comment>
    <comment ref="F6594" authorId="2">
      <text/>
    </comment>
    <comment ref="F6595" authorId="2">
      <text/>
    </comment>
    <comment ref="A6597" authorId="2">
      <text>
        <r>
          <rPr>
            <sz val="11"/>
            <color theme="1"/>
            <rFont val="Calibri"/>
            <family val="2"/>
            <scheme val="minor"/>
          </rPr>
          <t>Introduzca un codigo UNSPSC</t>
        </r>
      </text>
    </comment>
    <comment ref="B6597" authorId="2">
      <text>
        <r>
          <rPr>
            <sz val="11"/>
            <color theme="1"/>
            <rFont val="Calibri"/>
            <family val="2"/>
            <scheme val="minor"/>
          </rPr>
          <t>Descripción calculada automáticamente a partir de código del artículo</t>
        </r>
      </text>
    </comment>
    <comment ref="C6597" authorId="2">
      <text>
        <r>
          <rPr>
            <sz val="11"/>
            <color theme="1"/>
            <rFont val="Calibri"/>
            <family val="2"/>
            <scheme val="minor"/>
          </rPr>
          <t>Seleccione un valor de la lista</t>
        </r>
      </text>
    </comment>
    <comment ref="D6597" authorId="2">
      <text>
        <r>
          <rPr>
            <sz val="11"/>
            <color theme="1"/>
            <rFont val="Calibri"/>
            <family val="2"/>
            <scheme val="minor"/>
          </rPr>
          <t>Introduzca un número con dos decimales como máximo. Debe ser igual o mayor a la "Cantidad Real Consumida"</t>
        </r>
      </text>
    </comment>
    <comment ref="E6597" authorId="2">
      <text>
        <r>
          <rPr>
            <sz val="11"/>
            <color theme="1"/>
            <rFont val="Calibri"/>
            <family val="2"/>
            <scheme val="minor"/>
          </rPr>
          <t>Introduzca un número con dos decimales como máximo</t>
        </r>
      </text>
    </comment>
    <comment ref="F6597" authorId="2">
      <text>
        <r>
          <rPr>
            <sz val="11"/>
            <color theme="1"/>
            <rFont val="Calibri"/>
            <family val="2"/>
            <scheme val="minor"/>
          </rPr>
          <t>Monto calculado automáticamente por el sistema</t>
        </r>
      </text>
    </comment>
    <comment ref="A6615" authorId="2">
      <text>
        <r>
          <rPr>
            <sz val="11"/>
            <color theme="1"/>
            <rFont val="Calibri"/>
            <family val="2"/>
            <scheme val="minor"/>
          </rPr>
          <t>Introducir un texto con el nombre o referencia de la contratación</t>
        </r>
      </text>
    </comment>
    <comment ref="B6615" authorId="2">
      <text>
        <r>
          <rPr>
            <sz val="11"/>
            <color theme="1"/>
            <rFont val="Calibri"/>
            <family val="2"/>
            <scheme val="minor"/>
          </rPr>
          <t>Introduzca un texto con la finalidad de la contratación</t>
        </r>
      </text>
    </comment>
    <comment ref="C6615" authorId="2">
      <text>
        <r>
          <rPr>
            <sz val="11"/>
            <color theme="1"/>
            <rFont val="Calibri"/>
            <family val="2"/>
            <scheme val="minor"/>
          </rPr>
          <t>Seleccionar un valor del listado</t>
        </r>
      </text>
    </comment>
    <comment ref="D6615" authorId="2">
      <text>
        <r>
          <rPr>
            <sz val="11"/>
            <color theme="1"/>
            <rFont val="Calibri"/>
            <family val="2"/>
            <scheme val="minor"/>
          </rPr>
          <t>Seleccione el tipo de procedimiento</t>
        </r>
      </text>
    </comment>
    <comment ref="E6615" authorId="2">
      <text>
        <r>
          <rPr>
            <sz val="11"/>
            <color theme="1"/>
            <rFont val="Calibri"/>
            <family val="2"/>
            <scheme val="minor"/>
          </rPr>
          <t>Seleccione un valor de la lista</t>
        </r>
      </text>
    </comment>
    <comment ref="F6615" authorId="2">
      <text>
        <r>
          <rPr>
            <sz val="11"/>
            <color theme="1"/>
            <rFont val="Calibri"/>
            <family val="2"/>
            <scheme val="minor"/>
          </rPr>
          <t>Introduzca el código SNIP</t>
        </r>
      </text>
    </comment>
    <comment ref="C6616" authorId="2">
      <text>
        <r>
          <rPr>
            <sz val="11"/>
            <color theme="1"/>
            <rFont val="Calibri"/>
            <family val="2"/>
            <scheme val="minor"/>
          </rPr>
          <t>Introduzca la fecha de inicio del proceso, en formato dd-mm-aaaa</t>
        </r>
      </text>
    </comment>
    <comment ref="F661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7" authorId="2">
      <text/>
    </comment>
    <comment ref="C6618" authorId="2">
      <text>
        <r>
          <rPr>
            <sz val="11"/>
            <color theme="1"/>
            <rFont val="Calibri"/>
            <family val="2"/>
            <scheme val="minor"/>
          </rPr>
          <t>Introduzca la fecha prevista de adjudicación, en formato dd-mm-aaaa</t>
        </r>
      </text>
    </comment>
    <comment ref="F6618" authorId="2">
      <text/>
    </comment>
    <comment ref="F6619" authorId="2">
      <text/>
    </comment>
    <comment ref="A6621" authorId="2">
      <text>
        <r>
          <rPr>
            <sz val="11"/>
            <color theme="1"/>
            <rFont val="Calibri"/>
            <family val="2"/>
            <scheme val="minor"/>
          </rPr>
          <t>Introduzca un codigo UNSPSC</t>
        </r>
      </text>
    </comment>
    <comment ref="B6621" authorId="2">
      <text>
        <r>
          <rPr>
            <sz val="11"/>
            <color theme="1"/>
            <rFont val="Calibri"/>
            <family val="2"/>
            <scheme val="minor"/>
          </rPr>
          <t>Descripción calculada automáticamente a partir de código del artículo</t>
        </r>
      </text>
    </comment>
    <comment ref="C6621" authorId="2">
      <text>
        <r>
          <rPr>
            <sz val="11"/>
            <color theme="1"/>
            <rFont val="Calibri"/>
            <family val="2"/>
            <scheme val="minor"/>
          </rPr>
          <t>Seleccione un valor de la lista</t>
        </r>
      </text>
    </comment>
    <comment ref="D6621" authorId="2">
      <text>
        <r>
          <rPr>
            <sz val="11"/>
            <color theme="1"/>
            <rFont val="Calibri"/>
            <family val="2"/>
            <scheme val="minor"/>
          </rPr>
          <t>Introduzca un número con dos decimales como máximo. Debe ser igual o mayor a la "Cantidad Real Consumida"</t>
        </r>
      </text>
    </comment>
    <comment ref="E6621" authorId="2">
      <text>
        <r>
          <rPr>
            <sz val="11"/>
            <color theme="1"/>
            <rFont val="Calibri"/>
            <family val="2"/>
            <scheme val="minor"/>
          </rPr>
          <t>Introduzca un número con dos decimales como máximo</t>
        </r>
      </text>
    </comment>
    <comment ref="F6621" authorId="2">
      <text>
        <r>
          <rPr>
            <sz val="11"/>
            <color theme="1"/>
            <rFont val="Calibri"/>
            <family val="2"/>
            <scheme val="minor"/>
          </rPr>
          <t>Monto calculado automáticamente por el sistema</t>
        </r>
      </text>
    </comment>
    <comment ref="A6629" authorId="2">
      <text>
        <r>
          <rPr>
            <sz val="11"/>
            <color theme="1"/>
            <rFont val="Calibri"/>
            <family val="2"/>
            <scheme val="minor"/>
          </rPr>
          <t>Introducir un texto con el nombre o referencia de la contratación</t>
        </r>
      </text>
    </comment>
    <comment ref="B6629" authorId="2">
      <text>
        <r>
          <rPr>
            <sz val="11"/>
            <color theme="1"/>
            <rFont val="Calibri"/>
            <family val="2"/>
            <scheme val="minor"/>
          </rPr>
          <t>Introduzca un texto con la finalidad de la contratación</t>
        </r>
      </text>
    </comment>
    <comment ref="C6629" authorId="2">
      <text>
        <r>
          <rPr>
            <sz val="11"/>
            <color theme="1"/>
            <rFont val="Calibri"/>
            <family val="2"/>
            <scheme val="minor"/>
          </rPr>
          <t>Seleccionar un valor del listado</t>
        </r>
      </text>
    </comment>
    <comment ref="D6629" authorId="2">
      <text>
        <r>
          <rPr>
            <sz val="11"/>
            <color theme="1"/>
            <rFont val="Calibri"/>
            <family val="2"/>
            <scheme val="minor"/>
          </rPr>
          <t>Seleccione el tipo de procedimiento</t>
        </r>
      </text>
    </comment>
    <comment ref="E6629" authorId="2">
      <text>
        <r>
          <rPr>
            <sz val="11"/>
            <color theme="1"/>
            <rFont val="Calibri"/>
            <family val="2"/>
            <scheme val="minor"/>
          </rPr>
          <t>Seleccione un valor de la lista</t>
        </r>
      </text>
    </comment>
    <comment ref="F6629" authorId="2">
      <text>
        <r>
          <rPr>
            <sz val="11"/>
            <color theme="1"/>
            <rFont val="Calibri"/>
            <family val="2"/>
            <scheme val="minor"/>
          </rPr>
          <t>Introduzca el código SNIP</t>
        </r>
      </text>
    </comment>
    <comment ref="C6630" authorId="2">
      <text>
        <r>
          <rPr>
            <sz val="11"/>
            <color theme="1"/>
            <rFont val="Calibri"/>
            <family val="2"/>
            <scheme val="minor"/>
          </rPr>
          <t>Introduzca la fecha de inicio del proceso, en formato dd-mm-aaaa</t>
        </r>
      </text>
    </comment>
    <comment ref="F663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1" authorId="2">
      <text/>
    </comment>
    <comment ref="C6632" authorId="2">
      <text>
        <r>
          <rPr>
            <sz val="11"/>
            <color theme="1"/>
            <rFont val="Calibri"/>
            <family val="2"/>
            <scheme val="minor"/>
          </rPr>
          <t>Introduzca la fecha prevista de adjudicación, en formato dd-mm-aaaa</t>
        </r>
      </text>
    </comment>
    <comment ref="F6632" authorId="2">
      <text/>
    </comment>
    <comment ref="F6633" authorId="2">
      <text/>
    </comment>
    <comment ref="A6635" authorId="2">
      <text>
        <r>
          <rPr>
            <sz val="11"/>
            <color theme="1"/>
            <rFont val="Calibri"/>
            <family val="2"/>
            <scheme val="minor"/>
          </rPr>
          <t>Introduzca un codigo UNSPSC</t>
        </r>
      </text>
    </comment>
    <comment ref="B6635" authorId="2">
      <text>
        <r>
          <rPr>
            <sz val="11"/>
            <color theme="1"/>
            <rFont val="Calibri"/>
            <family val="2"/>
            <scheme val="minor"/>
          </rPr>
          <t>Descripción calculada automáticamente a partir de código del artículo</t>
        </r>
      </text>
    </comment>
    <comment ref="C6635" authorId="2">
      <text>
        <r>
          <rPr>
            <sz val="11"/>
            <color theme="1"/>
            <rFont val="Calibri"/>
            <family val="2"/>
            <scheme val="minor"/>
          </rPr>
          <t>Seleccione un valor de la lista</t>
        </r>
      </text>
    </comment>
    <comment ref="D6635" authorId="2">
      <text>
        <r>
          <rPr>
            <sz val="11"/>
            <color theme="1"/>
            <rFont val="Calibri"/>
            <family val="2"/>
            <scheme val="minor"/>
          </rPr>
          <t>Introduzca un número con dos decimales como máximo. Debe ser igual o mayor a la "Cantidad Real Consumida"</t>
        </r>
      </text>
    </comment>
    <comment ref="E6635" authorId="2">
      <text>
        <r>
          <rPr>
            <sz val="11"/>
            <color theme="1"/>
            <rFont val="Calibri"/>
            <family val="2"/>
            <scheme val="minor"/>
          </rPr>
          <t>Introduzca un número con dos decimales como máximo</t>
        </r>
      </text>
    </comment>
    <comment ref="F6635" authorId="2">
      <text>
        <r>
          <rPr>
            <sz val="11"/>
            <color theme="1"/>
            <rFont val="Calibri"/>
            <family val="2"/>
            <scheme val="minor"/>
          </rPr>
          <t>Monto calculado automáticamente por el sistema</t>
        </r>
      </text>
    </comment>
    <comment ref="A6653" authorId="2">
      <text>
        <r>
          <rPr>
            <sz val="11"/>
            <color theme="1"/>
            <rFont val="Calibri"/>
            <family val="2"/>
            <scheme val="minor"/>
          </rPr>
          <t>Introducir un texto con el nombre o referencia de la contratación</t>
        </r>
      </text>
    </comment>
    <comment ref="B6653" authorId="2">
      <text>
        <r>
          <rPr>
            <sz val="11"/>
            <color theme="1"/>
            <rFont val="Calibri"/>
            <family val="2"/>
            <scheme val="minor"/>
          </rPr>
          <t>Introduzca un texto con la finalidad de la contratación</t>
        </r>
      </text>
    </comment>
    <comment ref="C6653" authorId="2">
      <text>
        <r>
          <rPr>
            <sz val="11"/>
            <color theme="1"/>
            <rFont val="Calibri"/>
            <family val="2"/>
            <scheme val="minor"/>
          </rPr>
          <t>Seleccionar un valor del listado</t>
        </r>
      </text>
    </comment>
    <comment ref="D6653" authorId="2">
      <text>
        <r>
          <rPr>
            <sz val="11"/>
            <color theme="1"/>
            <rFont val="Calibri"/>
            <family val="2"/>
            <scheme val="minor"/>
          </rPr>
          <t>Seleccione el tipo de procedimiento</t>
        </r>
      </text>
    </comment>
    <comment ref="E6653" authorId="2">
      <text>
        <r>
          <rPr>
            <sz val="11"/>
            <color theme="1"/>
            <rFont val="Calibri"/>
            <family val="2"/>
            <scheme val="minor"/>
          </rPr>
          <t>Seleccione un valor de la lista</t>
        </r>
      </text>
    </comment>
    <comment ref="F6653" authorId="2">
      <text>
        <r>
          <rPr>
            <sz val="11"/>
            <color theme="1"/>
            <rFont val="Calibri"/>
            <family val="2"/>
            <scheme val="minor"/>
          </rPr>
          <t>Introduzca el código SNIP</t>
        </r>
      </text>
    </comment>
    <comment ref="C6654" authorId="2">
      <text>
        <r>
          <rPr>
            <sz val="11"/>
            <color theme="1"/>
            <rFont val="Calibri"/>
            <family val="2"/>
            <scheme val="minor"/>
          </rPr>
          <t>Introduzca la fecha de inicio del proceso, en formato dd-mm-aaaa</t>
        </r>
      </text>
    </comment>
    <comment ref="F66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5" authorId="2">
      <text/>
    </comment>
    <comment ref="C6656" authorId="2">
      <text>
        <r>
          <rPr>
            <sz val="11"/>
            <color theme="1"/>
            <rFont val="Calibri"/>
            <family val="2"/>
            <scheme val="minor"/>
          </rPr>
          <t>Introduzca la fecha prevista de adjudicación, en formato dd-mm-aaaa</t>
        </r>
      </text>
    </comment>
    <comment ref="F6656" authorId="2">
      <text/>
    </comment>
    <comment ref="F6657" authorId="2">
      <text/>
    </comment>
    <comment ref="A6659" authorId="2">
      <text>
        <r>
          <rPr>
            <sz val="11"/>
            <color theme="1"/>
            <rFont val="Calibri"/>
            <family val="2"/>
            <scheme val="minor"/>
          </rPr>
          <t>Introduzca un codigo UNSPSC</t>
        </r>
      </text>
    </comment>
    <comment ref="B6659" authorId="2">
      <text>
        <r>
          <rPr>
            <sz val="11"/>
            <color theme="1"/>
            <rFont val="Calibri"/>
            <family val="2"/>
            <scheme val="minor"/>
          </rPr>
          <t>Descripción calculada automáticamente a partir de código del artículo</t>
        </r>
      </text>
    </comment>
    <comment ref="C6659" authorId="2">
      <text>
        <r>
          <rPr>
            <sz val="11"/>
            <color theme="1"/>
            <rFont val="Calibri"/>
            <family val="2"/>
            <scheme val="minor"/>
          </rPr>
          <t>Seleccione un valor de la lista</t>
        </r>
      </text>
    </comment>
    <comment ref="D6659" authorId="2">
      <text>
        <r>
          <rPr>
            <sz val="11"/>
            <color theme="1"/>
            <rFont val="Calibri"/>
            <family val="2"/>
            <scheme val="minor"/>
          </rPr>
          <t>Introduzca un número con dos decimales como máximo. Debe ser igual o mayor a la "Cantidad Real Consumida"</t>
        </r>
      </text>
    </comment>
    <comment ref="E6659" authorId="2">
      <text>
        <r>
          <rPr>
            <sz val="11"/>
            <color theme="1"/>
            <rFont val="Calibri"/>
            <family val="2"/>
            <scheme val="minor"/>
          </rPr>
          <t>Introduzca un número con dos decimales como máximo</t>
        </r>
      </text>
    </comment>
    <comment ref="F6659" authorId="2">
      <text>
        <r>
          <rPr>
            <sz val="11"/>
            <color theme="1"/>
            <rFont val="Calibri"/>
            <family val="2"/>
            <scheme val="minor"/>
          </rPr>
          <t>Monto calculado automáticamente por el sistema</t>
        </r>
      </text>
    </comment>
    <comment ref="A6665" authorId="2">
      <text>
        <r>
          <rPr>
            <sz val="11"/>
            <color theme="1"/>
            <rFont val="Calibri"/>
            <family val="2"/>
            <scheme val="minor"/>
          </rPr>
          <t>Introducir un texto con el nombre o referencia de la contratación</t>
        </r>
      </text>
    </comment>
    <comment ref="B6665" authorId="2">
      <text>
        <r>
          <rPr>
            <sz val="11"/>
            <color theme="1"/>
            <rFont val="Calibri"/>
            <family val="2"/>
            <scheme val="minor"/>
          </rPr>
          <t>Introduzca un texto con la finalidad de la contratación</t>
        </r>
      </text>
    </comment>
    <comment ref="C6665" authorId="2">
      <text>
        <r>
          <rPr>
            <sz val="11"/>
            <color theme="1"/>
            <rFont val="Calibri"/>
            <family val="2"/>
            <scheme val="minor"/>
          </rPr>
          <t>Seleccionar un valor del listado</t>
        </r>
      </text>
    </comment>
    <comment ref="D6665" authorId="2">
      <text>
        <r>
          <rPr>
            <sz val="11"/>
            <color theme="1"/>
            <rFont val="Calibri"/>
            <family val="2"/>
            <scheme val="minor"/>
          </rPr>
          <t>Seleccione el tipo de procedimiento</t>
        </r>
      </text>
    </comment>
    <comment ref="E6665" authorId="2">
      <text>
        <r>
          <rPr>
            <sz val="11"/>
            <color theme="1"/>
            <rFont val="Calibri"/>
            <family val="2"/>
            <scheme val="minor"/>
          </rPr>
          <t>Seleccione un valor de la lista</t>
        </r>
      </text>
    </comment>
    <comment ref="F6665" authorId="2">
      <text>
        <r>
          <rPr>
            <sz val="11"/>
            <color theme="1"/>
            <rFont val="Calibri"/>
            <family val="2"/>
            <scheme val="minor"/>
          </rPr>
          <t>Introduzca el código SNIP</t>
        </r>
      </text>
    </comment>
    <comment ref="C6666" authorId="2">
      <text>
        <r>
          <rPr>
            <sz val="11"/>
            <color theme="1"/>
            <rFont val="Calibri"/>
            <family val="2"/>
            <scheme val="minor"/>
          </rPr>
          <t>Introduzca la fecha de inicio del proceso, en formato dd-mm-aaaa</t>
        </r>
      </text>
    </comment>
    <comment ref="F66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7" authorId="2">
      <text/>
    </comment>
    <comment ref="C6668" authorId="2">
      <text>
        <r>
          <rPr>
            <sz val="11"/>
            <color theme="1"/>
            <rFont val="Calibri"/>
            <family val="2"/>
            <scheme val="minor"/>
          </rPr>
          <t>Introduzca la fecha prevista de adjudicación, en formato dd-mm-aaaa</t>
        </r>
      </text>
    </comment>
    <comment ref="F6668" authorId="2">
      <text/>
    </comment>
    <comment ref="F6669" authorId="2">
      <text/>
    </comment>
    <comment ref="A6671" authorId="2">
      <text>
        <r>
          <rPr>
            <sz val="11"/>
            <color theme="1"/>
            <rFont val="Calibri"/>
            <family val="2"/>
            <scheme val="minor"/>
          </rPr>
          <t>Introduzca un codigo UNSPSC</t>
        </r>
      </text>
    </comment>
    <comment ref="B6671" authorId="2">
      <text>
        <r>
          <rPr>
            <sz val="11"/>
            <color theme="1"/>
            <rFont val="Calibri"/>
            <family val="2"/>
            <scheme val="minor"/>
          </rPr>
          <t>Descripción calculada automáticamente a partir de código del artículo</t>
        </r>
      </text>
    </comment>
    <comment ref="C6671" authorId="2">
      <text>
        <r>
          <rPr>
            <sz val="11"/>
            <color theme="1"/>
            <rFont val="Calibri"/>
            <family val="2"/>
            <scheme val="minor"/>
          </rPr>
          <t>Seleccione un valor de la lista</t>
        </r>
      </text>
    </comment>
    <comment ref="D6671" authorId="2">
      <text>
        <r>
          <rPr>
            <sz val="11"/>
            <color theme="1"/>
            <rFont val="Calibri"/>
            <family val="2"/>
            <scheme val="minor"/>
          </rPr>
          <t>Introduzca un número con dos decimales como máximo. Debe ser igual o mayor a la "Cantidad Real Consumida"</t>
        </r>
      </text>
    </comment>
    <comment ref="E6671" authorId="2">
      <text>
        <r>
          <rPr>
            <sz val="11"/>
            <color theme="1"/>
            <rFont val="Calibri"/>
            <family val="2"/>
            <scheme val="minor"/>
          </rPr>
          <t>Introduzca un número con dos decimales como máximo</t>
        </r>
      </text>
    </comment>
    <comment ref="F6671" authorId="2">
      <text>
        <r>
          <rPr>
            <sz val="11"/>
            <color theme="1"/>
            <rFont val="Calibri"/>
            <family val="2"/>
            <scheme val="minor"/>
          </rPr>
          <t>Monto calculado automáticamente por el sistema</t>
        </r>
      </text>
    </comment>
    <comment ref="A6689" authorId="2">
      <text>
        <r>
          <rPr>
            <sz val="11"/>
            <color theme="1"/>
            <rFont val="Calibri"/>
            <family val="2"/>
            <scheme val="minor"/>
          </rPr>
          <t>Introducir un texto con el nombre o referencia de la contratación</t>
        </r>
      </text>
    </comment>
    <comment ref="B6689" authorId="2">
      <text>
        <r>
          <rPr>
            <sz val="11"/>
            <color theme="1"/>
            <rFont val="Calibri"/>
            <family val="2"/>
            <scheme val="minor"/>
          </rPr>
          <t>Introduzca un texto con la finalidad de la contratación</t>
        </r>
      </text>
    </comment>
    <comment ref="C6689" authorId="2">
      <text>
        <r>
          <rPr>
            <sz val="11"/>
            <color theme="1"/>
            <rFont val="Calibri"/>
            <family val="2"/>
            <scheme val="minor"/>
          </rPr>
          <t>Seleccionar un valor del listado</t>
        </r>
      </text>
    </comment>
    <comment ref="D6689" authorId="2">
      <text>
        <r>
          <rPr>
            <sz val="11"/>
            <color theme="1"/>
            <rFont val="Calibri"/>
            <family val="2"/>
            <scheme val="minor"/>
          </rPr>
          <t>Seleccione el tipo de procedimiento</t>
        </r>
      </text>
    </comment>
    <comment ref="E6689" authorId="2">
      <text>
        <r>
          <rPr>
            <sz val="11"/>
            <color theme="1"/>
            <rFont val="Calibri"/>
            <family val="2"/>
            <scheme val="minor"/>
          </rPr>
          <t>Seleccione un valor de la lista</t>
        </r>
      </text>
    </comment>
    <comment ref="F6689" authorId="2">
      <text>
        <r>
          <rPr>
            <sz val="11"/>
            <color theme="1"/>
            <rFont val="Calibri"/>
            <family val="2"/>
            <scheme val="minor"/>
          </rPr>
          <t>Introduzca el código SNIP</t>
        </r>
      </text>
    </comment>
    <comment ref="C6690" authorId="2">
      <text>
        <r>
          <rPr>
            <sz val="11"/>
            <color theme="1"/>
            <rFont val="Calibri"/>
            <family val="2"/>
            <scheme val="minor"/>
          </rPr>
          <t>Introduzca la fecha de inicio del proceso, en formato dd-mm-aaaa</t>
        </r>
      </text>
    </comment>
    <comment ref="F66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1" authorId="2">
      <text/>
    </comment>
    <comment ref="C6692" authorId="2">
      <text>
        <r>
          <rPr>
            <sz val="11"/>
            <color theme="1"/>
            <rFont val="Calibri"/>
            <family val="2"/>
            <scheme val="minor"/>
          </rPr>
          <t>Introduzca la fecha prevista de adjudicación, en formato dd-mm-aaaa</t>
        </r>
      </text>
    </comment>
    <comment ref="F6692" authorId="2">
      <text/>
    </comment>
    <comment ref="F6693" authorId="2">
      <text/>
    </comment>
    <comment ref="A6695" authorId="2">
      <text>
        <r>
          <rPr>
            <sz val="11"/>
            <color theme="1"/>
            <rFont val="Calibri"/>
            <family val="2"/>
            <scheme val="minor"/>
          </rPr>
          <t>Introduzca un codigo UNSPSC</t>
        </r>
      </text>
    </comment>
    <comment ref="B6695" authorId="2">
      <text>
        <r>
          <rPr>
            <sz val="11"/>
            <color theme="1"/>
            <rFont val="Calibri"/>
            <family val="2"/>
            <scheme val="minor"/>
          </rPr>
          <t>Descripción calculada automáticamente a partir de código del artículo</t>
        </r>
      </text>
    </comment>
    <comment ref="C6695" authorId="2">
      <text>
        <r>
          <rPr>
            <sz val="11"/>
            <color theme="1"/>
            <rFont val="Calibri"/>
            <family val="2"/>
            <scheme val="minor"/>
          </rPr>
          <t>Seleccione un valor de la lista</t>
        </r>
      </text>
    </comment>
    <comment ref="D6695" authorId="2">
      <text>
        <r>
          <rPr>
            <sz val="11"/>
            <color theme="1"/>
            <rFont val="Calibri"/>
            <family val="2"/>
            <scheme val="minor"/>
          </rPr>
          <t>Introduzca un número con dos decimales como máximo. Debe ser igual o mayor a la "Cantidad Real Consumida"</t>
        </r>
      </text>
    </comment>
    <comment ref="E6695" authorId="2">
      <text>
        <r>
          <rPr>
            <sz val="11"/>
            <color theme="1"/>
            <rFont val="Calibri"/>
            <family val="2"/>
            <scheme val="minor"/>
          </rPr>
          <t>Introduzca un número con dos decimales como máximo</t>
        </r>
      </text>
    </comment>
    <comment ref="F6695" authorId="2">
      <text>
        <r>
          <rPr>
            <sz val="11"/>
            <color theme="1"/>
            <rFont val="Calibri"/>
            <family val="2"/>
            <scheme val="minor"/>
          </rPr>
          <t>Monto calculado automáticamente por el sistema</t>
        </r>
      </text>
    </comment>
    <comment ref="A6707" authorId="2">
      <text>
        <r>
          <rPr>
            <sz val="11"/>
            <color theme="1"/>
            <rFont val="Calibri"/>
            <family val="2"/>
            <scheme val="minor"/>
          </rPr>
          <t>Introducir un texto con el nombre o referencia de la contratación</t>
        </r>
      </text>
    </comment>
    <comment ref="B6707" authorId="2">
      <text>
        <r>
          <rPr>
            <sz val="11"/>
            <color theme="1"/>
            <rFont val="Calibri"/>
            <family val="2"/>
            <scheme val="minor"/>
          </rPr>
          <t>Introduzca un texto con la finalidad de la contratación</t>
        </r>
      </text>
    </comment>
    <comment ref="C6707" authorId="2">
      <text>
        <r>
          <rPr>
            <sz val="11"/>
            <color theme="1"/>
            <rFont val="Calibri"/>
            <family val="2"/>
            <scheme val="minor"/>
          </rPr>
          <t>Seleccionar un valor del listado</t>
        </r>
      </text>
    </comment>
    <comment ref="D6707" authorId="2">
      <text>
        <r>
          <rPr>
            <sz val="11"/>
            <color theme="1"/>
            <rFont val="Calibri"/>
            <family val="2"/>
            <scheme val="minor"/>
          </rPr>
          <t>Seleccione el tipo de procedimiento</t>
        </r>
      </text>
    </comment>
    <comment ref="E6707" authorId="2">
      <text>
        <r>
          <rPr>
            <sz val="11"/>
            <color theme="1"/>
            <rFont val="Calibri"/>
            <family val="2"/>
            <scheme val="minor"/>
          </rPr>
          <t>Seleccione un valor de la lista</t>
        </r>
      </text>
    </comment>
    <comment ref="F6707" authorId="2">
      <text>
        <r>
          <rPr>
            <sz val="11"/>
            <color theme="1"/>
            <rFont val="Calibri"/>
            <family val="2"/>
            <scheme val="minor"/>
          </rPr>
          <t>Introduzca el código SNIP</t>
        </r>
      </text>
    </comment>
    <comment ref="C6708" authorId="2">
      <text>
        <r>
          <rPr>
            <sz val="11"/>
            <color theme="1"/>
            <rFont val="Calibri"/>
            <family val="2"/>
            <scheme val="minor"/>
          </rPr>
          <t>Introduzca la fecha de inicio del proceso, en formato dd-mm-aaaa</t>
        </r>
      </text>
    </comment>
    <comment ref="F67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9" authorId="2">
      <text/>
    </comment>
    <comment ref="C6710" authorId="2">
      <text>
        <r>
          <rPr>
            <sz val="11"/>
            <color theme="1"/>
            <rFont val="Calibri"/>
            <family val="2"/>
            <scheme val="minor"/>
          </rPr>
          <t>Introduzca la fecha prevista de adjudicación, en formato dd-mm-aaaa</t>
        </r>
      </text>
    </comment>
    <comment ref="F6710" authorId="2">
      <text/>
    </comment>
    <comment ref="F6711" authorId="2">
      <text/>
    </comment>
    <comment ref="A6713" authorId="2">
      <text>
        <r>
          <rPr>
            <sz val="11"/>
            <color theme="1"/>
            <rFont val="Calibri"/>
            <family val="2"/>
            <scheme val="minor"/>
          </rPr>
          <t>Introduzca un codigo UNSPSC</t>
        </r>
      </text>
    </comment>
    <comment ref="B6713" authorId="2">
      <text>
        <r>
          <rPr>
            <sz val="11"/>
            <color theme="1"/>
            <rFont val="Calibri"/>
            <family val="2"/>
            <scheme val="minor"/>
          </rPr>
          <t>Descripción calculada automáticamente a partir de código del artículo</t>
        </r>
      </text>
    </comment>
    <comment ref="C6713" authorId="2">
      <text>
        <r>
          <rPr>
            <sz val="11"/>
            <color theme="1"/>
            <rFont val="Calibri"/>
            <family val="2"/>
            <scheme val="minor"/>
          </rPr>
          <t>Seleccione un valor de la lista</t>
        </r>
      </text>
    </comment>
    <comment ref="D6713" authorId="2">
      <text>
        <r>
          <rPr>
            <sz val="11"/>
            <color theme="1"/>
            <rFont val="Calibri"/>
            <family val="2"/>
            <scheme val="minor"/>
          </rPr>
          <t>Introduzca un número con dos decimales como máximo. Debe ser igual o mayor a la "Cantidad Real Consumida"</t>
        </r>
      </text>
    </comment>
    <comment ref="E6713" authorId="2">
      <text>
        <r>
          <rPr>
            <sz val="11"/>
            <color theme="1"/>
            <rFont val="Calibri"/>
            <family val="2"/>
            <scheme val="minor"/>
          </rPr>
          <t>Introduzca un número con dos decimales como máximo</t>
        </r>
      </text>
    </comment>
    <comment ref="F6713" authorId="2">
      <text>
        <r>
          <rPr>
            <sz val="11"/>
            <color theme="1"/>
            <rFont val="Calibri"/>
            <family val="2"/>
            <scheme val="minor"/>
          </rPr>
          <t>Monto calculado automáticamente por el sistema</t>
        </r>
      </text>
    </comment>
    <comment ref="A6731" authorId="2">
      <text>
        <r>
          <rPr>
            <sz val="11"/>
            <color theme="1"/>
            <rFont val="Calibri"/>
            <family val="2"/>
            <scheme val="minor"/>
          </rPr>
          <t>Introducir un texto con el nombre o referencia de la contratación</t>
        </r>
      </text>
    </comment>
    <comment ref="B6731" authorId="2">
      <text>
        <r>
          <rPr>
            <sz val="11"/>
            <color theme="1"/>
            <rFont val="Calibri"/>
            <family val="2"/>
            <scheme val="minor"/>
          </rPr>
          <t>Introduzca un texto con la finalidad de la contratación</t>
        </r>
      </text>
    </comment>
    <comment ref="C6731" authorId="2">
      <text>
        <r>
          <rPr>
            <sz val="11"/>
            <color theme="1"/>
            <rFont val="Calibri"/>
            <family val="2"/>
            <scheme val="minor"/>
          </rPr>
          <t>Seleccionar un valor del listado</t>
        </r>
      </text>
    </comment>
    <comment ref="D6731" authorId="2">
      <text>
        <r>
          <rPr>
            <sz val="11"/>
            <color theme="1"/>
            <rFont val="Calibri"/>
            <family val="2"/>
            <scheme val="minor"/>
          </rPr>
          <t>Seleccione el tipo de procedimiento</t>
        </r>
      </text>
    </comment>
    <comment ref="E6731" authorId="2">
      <text>
        <r>
          <rPr>
            <sz val="11"/>
            <color theme="1"/>
            <rFont val="Calibri"/>
            <family val="2"/>
            <scheme val="minor"/>
          </rPr>
          <t>Seleccione un valor de la lista</t>
        </r>
      </text>
    </comment>
    <comment ref="F6731" authorId="2">
      <text>
        <r>
          <rPr>
            <sz val="11"/>
            <color theme="1"/>
            <rFont val="Calibri"/>
            <family val="2"/>
            <scheme val="minor"/>
          </rPr>
          <t>Introduzca el código SNIP</t>
        </r>
      </text>
    </comment>
    <comment ref="C6732" authorId="2">
      <text>
        <r>
          <rPr>
            <sz val="11"/>
            <color theme="1"/>
            <rFont val="Calibri"/>
            <family val="2"/>
            <scheme val="minor"/>
          </rPr>
          <t>Introduzca la fecha de inicio del proceso, en formato dd-mm-aaaa</t>
        </r>
      </text>
    </comment>
    <comment ref="F67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3" authorId="2">
      <text/>
    </comment>
    <comment ref="C6734" authorId="2">
      <text>
        <r>
          <rPr>
            <sz val="11"/>
            <color theme="1"/>
            <rFont val="Calibri"/>
            <family val="2"/>
            <scheme val="minor"/>
          </rPr>
          <t>Introduzca la fecha prevista de adjudicación, en formato dd-mm-aaaa</t>
        </r>
      </text>
    </comment>
    <comment ref="F6734" authorId="2">
      <text/>
    </comment>
    <comment ref="F6735" authorId="2">
      <text/>
    </comment>
    <comment ref="A6737" authorId="2">
      <text>
        <r>
          <rPr>
            <sz val="11"/>
            <color theme="1"/>
            <rFont val="Calibri"/>
            <family val="2"/>
            <scheme val="minor"/>
          </rPr>
          <t>Introduzca un codigo UNSPSC</t>
        </r>
      </text>
    </comment>
    <comment ref="B6737" authorId="2">
      <text>
        <r>
          <rPr>
            <sz val="11"/>
            <color theme="1"/>
            <rFont val="Calibri"/>
            <family val="2"/>
            <scheme val="minor"/>
          </rPr>
          <t>Descripción calculada automáticamente a partir de código del artículo</t>
        </r>
      </text>
    </comment>
    <comment ref="C6737" authorId="2">
      <text>
        <r>
          <rPr>
            <sz val="11"/>
            <color theme="1"/>
            <rFont val="Calibri"/>
            <family val="2"/>
            <scheme val="minor"/>
          </rPr>
          <t>Seleccione un valor de la lista</t>
        </r>
      </text>
    </comment>
    <comment ref="D6737" authorId="2">
      <text>
        <r>
          <rPr>
            <sz val="11"/>
            <color theme="1"/>
            <rFont val="Calibri"/>
            <family val="2"/>
            <scheme val="minor"/>
          </rPr>
          <t>Introduzca un número con dos decimales como máximo. Debe ser igual o mayor a la "Cantidad Real Consumida"</t>
        </r>
      </text>
    </comment>
    <comment ref="E6737" authorId="2">
      <text>
        <r>
          <rPr>
            <sz val="11"/>
            <color theme="1"/>
            <rFont val="Calibri"/>
            <family val="2"/>
            <scheme val="minor"/>
          </rPr>
          <t>Introduzca un número con dos decimales como máximo</t>
        </r>
      </text>
    </comment>
    <comment ref="F6737" authorId="2">
      <text>
        <r>
          <rPr>
            <sz val="11"/>
            <color theme="1"/>
            <rFont val="Calibri"/>
            <family val="2"/>
            <scheme val="minor"/>
          </rPr>
          <t>Monto calculado automáticamente por el sistema</t>
        </r>
      </text>
    </comment>
    <comment ref="A6752" authorId="2">
      <text>
        <r>
          <rPr>
            <sz val="11"/>
            <color theme="1"/>
            <rFont val="Calibri"/>
            <family val="2"/>
            <scheme val="minor"/>
          </rPr>
          <t>Introducir un texto con el nombre o referencia de la contratación</t>
        </r>
      </text>
    </comment>
    <comment ref="B6752" authorId="2">
      <text>
        <r>
          <rPr>
            <sz val="11"/>
            <color theme="1"/>
            <rFont val="Calibri"/>
            <family val="2"/>
            <scheme val="minor"/>
          </rPr>
          <t>Introduzca un texto con la finalidad de la contratación</t>
        </r>
      </text>
    </comment>
    <comment ref="C6752" authorId="2">
      <text>
        <r>
          <rPr>
            <sz val="11"/>
            <color theme="1"/>
            <rFont val="Calibri"/>
            <family val="2"/>
            <scheme val="minor"/>
          </rPr>
          <t>Seleccionar un valor del listado</t>
        </r>
      </text>
    </comment>
    <comment ref="D6752" authorId="2">
      <text>
        <r>
          <rPr>
            <sz val="11"/>
            <color theme="1"/>
            <rFont val="Calibri"/>
            <family val="2"/>
            <scheme val="minor"/>
          </rPr>
          <t>Seleccione el tipo de procedimiento</t>
        </r>
      </text>
    </comment>
    <comment ref="E6752" authorId="2">
      <text>
        <r>
          <rPr>
            <sz val="11"/>
            <color theme="1"/>
            <rFont val="Calibri"/>
            <family val="2"/>
            <scheme val="minor"/>
          </rPr>
          <t>Seleccione un valor de la lista</t>
        </r>
      </text>
    </comment>
    <comment ref="F6752" authorId="2">
      <text>
        <r>
          <rPr>
            <sz val="11"/>
            <color theme="1"/>
            <rFont val="Calibri"/>
            <family val="2"/>
            <scheme val="minor"/>
          </rPr>
          <t>Introduzca el código SNIP</t>
        </r>
      </text>
    </comment>
    <comment ref="C6753" authorId="2">
      <text>
        <r>
          <rPr>
            <sz val="11"/>
            <color theme="1"/>
            <rFont val="Calibri"/>
            <family val="2"/>
            <scheme val="minor"/>
          </rPr>
          <t>Introduzca la fecha de inicio del proceso, en formato dd-mm-aaaa</t>
        </r>
      </text>
    </comment>
    <comment ref="F67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4" authorId="2">
      <text/>
    </comment>
    <comment ref="C6755" authorId="2">
      <text>
        <r>
          <rPr>
            <sz val="11"/>
            <color theme="1"/>
            <rFont val="Calibri"/>
            <family val="2"/>
            <scheme val="minor"/>
          </rPr>
          <t>Introduzca la fecha prevista de adjudicación, en formato dd-mm-aaaa</t>
        </r>
      </text>
    </comment>
    <comment ref="F6755" authorId="2">
      <text/>
    </comment>
    <comment ref="F6756" authorId="2">
      <text/>
    </comment>
    <comment ref="A6758" authorId="2">
      <text>
        <r>
          <rPr>
            <sz val="11"/>
            <color theme="1"/>
            <rFont val="Calibri"/>
            <family val="2"/>
            <scheme val="minor"/>
          </rPr>
          <t>Introduzca un codigo UNSPSC</t>
        </r>
      </text>
    </comment>
    <comment ref="B6758" authorId="2">
      <text>
        <r>
          <rPr>
            <sz val="11"/>
            <color theme="1"/>
            <rFont val="Calibri"/>
            <family val="2"/>
            <scheme val="minor"/>
          </rPr>
          <t>Descripción calculada automáticamente a partir de código del artículo</t>
        </r>
      </text>
    </comment>
    <comment ref="C6758" authorId="2">
      <text>
        <r>
          <rPr>
            <sz val="11"/>
            <color theme="1"/>
            <rFont val="Calibri"/>
            <family val="2"/>
            <scheme val="minor"/>
          </rPr>
          <t>Seleccione un valor de la lista</t>
        </r>
      </text>
    </comment>
    <comment ref="D6758" authorId="2">
      <text>
        <r>
          <rPr>
            <sz val="11"/>
            <color theme="1"/>
            <rFont val="Calibri"/>
            <family val="2"/>
            <scheme val="minor"/>
          </rPr>
          <t>Introduzca un número con dos decimales como máximo. Debe ser igual o mayor a la "Cantidad Real Consumida"</t>
        </r>
      </text>
    </comment>
    <comment ref="E6758" authorId="2">
      <text>
        <r>
          <rPr>
            <sz val="11"/>
            <color theme="1"/>
            <rFont val="Calibri"/>
            <family val="2"/>
            <scheme val="minor"/>
          </rPr>
          <t>Introduzca un número con dos decimales como máximo</t>
        </r>
      </text>
    </comment>
    <comment ref="F6758" authorId="2">
      <text>
        <r>
          <rPr>
            <sz val="11"/>
            <color theme="1"/>
            <rFont val="Calibri"/>
            <family val="2"/>
            <scheme val="minor"/>
          </rPr>
          <t>Monto calculado automáticamente por el sistema</t>
        </r>
      </text>
    </comment>
    <comment ref="A6763" authorId="2">
      <text>
        <r>
          <rPr>
            <sz val="11"/>
            <color theme="1"/>
            <rFont val="Calibri"/>
            <family val="2"/>
            <scheme val="minor"/>
          </rPr>
          <t>Introducir un texto con el nombre o referencia de la contratación</t>
        </r>
      </text>
    </comment>
    <comment ref="B6763" authorId="2">
      <text>
        <r>
          <rPr>
            <sz val="11"/>
            <color theme="1"/>
            <rFont val="Calibri"/>
            <family val="2"/>
            <scheme val="minor"/>
          </rPr>
          <t>Introduzca un texto con la finalidad de la contratación</t>
        </r>
      </text>
    </comment>
    <comment ref="C6763" authorId="2">
      <text>
        <r>
          <rPr>
            <sz val="11"/>
            <color theme="1"/>
            <rFont val="Calibri"/>
            <family val="2"/>
            <scheme val="minor"/>
          </rPr>
          <t>Seleccionar un valor del listado</t>
        </r>
      </text>
    </comment>
    <comment ref="D6763" authorId="2">
      <text>
        <r>
          <rPr>
            <sz val="11"/>
            <color theme="1"/>
            <rFont val="Calibri"/>
            <family val="2"/>
            <scheme val="minor"/>
          </rPr>
          <t>Seleccione el tipo de procedimiento</t>
        </r>
      </text>
    </comment>
    <comment ref="E6763" authorId="2">
      <text>
        <r>
          <rPr>
            <sz val="11"/>
            <color theme="1"/>
            <rFont val="Calibri"/>
            <family val="2"/>
            <scheme val="minor"/>
          </rPr>
          <t>Seleccione un valor de la lista</t>
        </r>
      </text>
    </comment>
    <comment ref="F6763" authorId="2">
      <text>
        <r>
          <rPr>
            <sz val="11"/>
            <color theme="1"/>
            <rFont val="Calibri"/>
            <family val="2"/>
            <scheme val="minor"/>
          </rPr>
          <t>Introduzca el código SNIP</t>
        </r>
      </text>
    </comment>
    <comment ref="C6764" authorId="2">
      <text>
        <r>
          <rPr>
            <sz val="11"/>
            <color theme="1"/>
            <rFont val="Calibri"/>
            <family val="2"/>
            <scheme val="minor"/>
          </rPr>
          <t>Introduzca la fecha de inicio del proceso, en formato dd-mm-aaaa</t>
        </r>
      </text>
    </comment>
    <comment ref="F67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5" authorId="2">
      <text/>
    </comment>
    <comment ref="C6766" authorId="2">
      <text>
        <r>
          <rPr>
            <sz val="11"/>
            <color theme="1"/>
            <rFont val="Calibri"/>
            <family val="2"/>
            <scheme val="minor"/>
          </rPr>
          <t>Introduzca la fecha prevista de adjudicación, en formato dd-mm-aaaa</t>
        </r>
      </text>
    </comment>
    <comment ref="F6766" authorId="2">
      <text/>
    </comment>
    <comment ref="F6767" authorId="2">
      <text/>
    </comment>
    <comment ref="A6769" authorId="2">
      <text>
        <r>
          <rPr>
            <sz val="11"/>
            <color theme="1"/>
            <rFont val="Calibri"/>
            <family val="2"/>
            <scheme val="minor"/>
          </rPr>
          <t>Introduzca un codigo UNSPSC</t>
        </r>
      </text>
    </comment>
    <comment ref="B6769" authorId="2">
      <text>
        <r>
          <rPr>
            <sz val="11"/>
            <color theme="1"/>
            <rFont val="Calibri"/>
            <family val="2"/>
            <scheme val="minor"/>
          </rPr>
          <t>Descripción calculada automáticamente a partir de código del artículo</t>
        </r>
      </text>
    </comment>
    <comment ref="C6769" authorId="2">
      <text>
        <r>
          <rPr>
            <sz val="11"/>
            <color theme="1"/>
            <rFont val="Calibri"/>
            <family val="2"/>
            <scheme val="minor"/>
          </rPr>
          <t>Seleccione un valor de la lista</t>
        </r>
      </text>
    </comment>
    <comment ref="D6769" authorId="2">
      <text>
        <r>
          <rPr>
            <sz val="11"/>
            <color theme="1"/>
            <rFont val="Calibri"/>
            <family val="2"/>
            <scheme val="minor"/>
          </rPr>
          <t>Introduzca un número con dos decimales como máximo. Debe ser igual o mayor a la "Cantidad Real Consumida"</t>
        </r>
      </text>
    </comment>
    <comment ref="E6769" authorId="2">
      <text>
        <r>
          <rPr>
            <sz val="11"/>
            <color theme="1"/>
            <rFont val="Calibri"/>
            <family val="2"/>
            <scheme val="minor"/>
          </rPr>
          <t>Introduzca un número con dos decimales como máximo</t>
        </r>
      </text>
    </comment>
    <comment ref="F6769" authorId="2">
      <text>
        <r>
          <rPr>
            <sz val="11"/>
            <color theme="1"/>
            <rFont val="Calibri"/>
            <family val="2"/>
            <scheme val="minor"/>
          </rPr>
          <t>Monto calculado automáticamente por el sistema</t>
        </r>
      </text>
    </comment>
    <comment ref="A6784" authorId="2">
      <text>
        <r>
          <rPr>
            <sz val="11"/>
            <color theme="1"/>
            <rFont val="Calibri"/>
            <family val="2"/>
            <scheme val="minor"/>
          </rPr>
          <t>Introducir un texto con el nombre o referencia de la contratación</t>
        </r>
      </text>
    </comment>
    <comment ref="B6784" authorId="2">
      <text>
        <r>
          <rPr>
            <sz val="11"/>
            <color theme="1"/>
            <rFont val="Calibri"/>
            <family val="2"/>
            <scheme val="minor"/>
          </rPr>
          <t>Introduzca un texto con la finalidad de la contratación</t>
        </r>
      </text>
    </comment>
    <comment ref="C6784" authorId="2">
      <text>
        <r>
          <rPr>
            <sz val="11"/>
            <color theme="1"/>
            <rFont val="Calibri"/>
            <family val="2"/>
            <scheme val="minor"/>
          </rPr>
          <t>Seleccionar un valor del listado</t>
        </r>
      </text>
    </comment>
    <comment ref="D6784" authorId="2">
      <text>
        <r>
          <rPr>
            <sz val="11"/>
            <color theme="1"/>
            <rFont val="Calibri"/>
            <family val="2"/>
            <scheme val="minor"/>
          </rPr>
          <t>Seleccione el tipo de procedimiento</t>
        </r>
      </text>
    </comment>
    <comment ref="E6784" authorId="2">
      <text>
        <r>
          <rPr>
            <sz val="11"/>
            <color theme="1"/>
            <rFont val="Calibri"/>
            <family val="2"/>
            <scheme val="minor"/>
          </rPr>
          <t>Seleccione un valor de la lista</t>
        </r>
      </text>
    </comment>
    <comment ref="F6784" authorId="2">
      <text>
        <r>
          <rPr>
            <sz val="11"/>
            <color theme="1"/>
            <rFont val="Calibri"/>
            <family val="2"/>
            <scheme val="minor"/>
          </rPr>
          <t>Introduzca el código SNIP</t>
        </r>
      </text>
    </comment>
    <comment ref="C6785" authorId="2">
      <text>
        <r>
          <rPr>
            <sz val="11"/>
            <color theme="1"/>
            <rFont val="Calibri"/>
            <family val="2"/>
            <scheme val="minor"/>
          </rPr>
          <t>Introduzca la fecha de inicio del proceso, en formato dd-mm-aaaa</t>
        </r>
      </text>
    </comment>
    <comment ref="F67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6" authorId="2">
      <text/>
    </comment>
    <comment ref="C6787" authorId="2">
      <text>
        <r>
          <rPr>
            <sz val="11"/>
            <color theme="1"/>
            <rFont val="Calibri"/>
            <family val="2"/>
            <scheme val="minor"/>
          </rPr>
          <t>Introduzca la fecha prevista de adjudicación, en formato dd-mm-aaaa</t>
        </r>
      </text>
    </comment>
    <comment ref="F6787" authorId="2">
      <text/>
    </comment>
    <comment ref="F6788" authorId="2">
      <text/>
    </comment>
    <comment ref="A6790" authorId="2">
      <text>
        <r>
          <rPr>
            <sz val="11"/>
            <color theme="1"/>
            <rFont val="Calibri"/>
            <family val="2"/>
            <scheme val="minor"/>
          </rPr>
          <t>Introduzca un codigo UNSPSC</t>
        </r>
      </text>
    </comment>
    <comment ref="B6790" authorId="2">
      <text>
        <r>
          <rPr>
            <sz val="11"/>
            <color theme="1"/>
            <rFont val="Calibri"/>
            <family val="2"/>
            <scheme val="minor"/>
          </rPr>
          <t>Descripción calculada automáticamente a partir de código del artículo</t>
        </r>
      </text>
    </comment>
    <comment ref="C6790" authorId="2">
      <text>
        <r>
          <rPr>
            <sz val="11"/>
            <color theme="1"/>
            <rFont val="Calibri"/>
            <family val="2"/>
            <scheme val="minor"/>
          </rPr>
          <t>Seleccione un valor de la lista</t>
        </r>
      </text>
    </comment>
    <comment ref="D6790" authorId="2">
      <text>
        <r>
          <rPr>
            <sz val="11"/>
            <color theme="1"/>
            <rFont val="Calibri"/>
            <family val="2"/>
            <scheme val="minor"/>
          </rPr>
          <t>Introduzca un número con dos decimales como máximo. Debe ser igual o mayor a la "Cantidad Real Consumida"</t>
        </r>
      </text>
    </comment>
    <comment ref="E6790" authorId="2">
      <text>
        <r>
          <rPr>
            <sz val="11"/>
            <color theme="1"/>
            <rFont val="Calibri"/>
            <family val="2"/>
            <scheme val="minor"/>
          </rPr>
          <t>Introduzca un número con dos decimales como máximo</t>
        </r>
      </text>
    </comment>
    <comment ref="F6790" authorId="2">
      <text>
        <r>
          <rPr>
            <sz val="11"/>
            <color theme="1"/>
            <rFont val="Calibri"/>
            <family val="2"/>
            <scheme val="minor"/>
          </rPr>
          <t>Monto calculado automáticamente por el sistema</t>
        </r>
      </text>
    </comment>
    <comment ref="A6808" authorId="2">
      <text>
        <r>
          <rPr>
            <sz val="11"/>
            <color theme="1"/>
            <rFont val="Calibri"/>
            <family val="2"/>
            <scheme val="minor"/>
          </rPr>
          <t>Introducir un texto con el nombre o referencia de la contratación</t>
        </r>
      </text>
    </comment>
    <comment ref="B6808" authorId="2">
      <text>
        <r>
          <rPr>
            <sz val="11"/>
            <color theme="1"/>
            <rFont val="Calibri"/>
            <family val="2"/>
            <scheme val="minor"/>
          </rPr>
          <t>Introduzca un texto con la finalidad de la contratación</t>
        </r>
      </text>
    </comment>
    <comment ref="C6808" authorId="2">
      <text>
        <r>
          <rPr>
            <sz val="11"/>
            <color theme="1"/>
            <rFont val="Calibri"/>
            <family val="2"/>
            <scheme val="minor"/>
          </rPr>
          <t>Seleccionar un valor del listado</t>
        </r>
      </text>
    </comment>
    <comment ref="D6808" authorId="2">
      <text>
        <r>
          <rPr>
            <sz val="11"/>
            <color theme="1"/>
            <rFont val="Calibri"/>
            <family val="2"/>
            <scheme val="minor"/>
          </rPr>
          <t>Seleccione el tipo de procedimiento</t>
        </r>
      </text>
    </comment>
    <comment ref="E6808" authorId="2">
      <text>
        <r>
          <rPr>
            <sz val="11"/>
            <color theme="1"/>
            <rFont val="Calibri"/>
            <family val="2"/>
            <scheme val="minor"/>
          </rPr>
          <t>Seleccione un valor de la lista</t>
        </r>
      </text>
    </comment>
    <comment ref="F6808" authorId="2">
      <text>
        <r>
          <rPr>
            <sz val="11"/>
            <color theme="1"/>
            <rFont val="Calibri"/>
            <family val="2"/>
            <scheme val="minor"/>
          </rPr>
          <t>Introduzca el código SNIP</t>
        </r>
      </text>
    </comment>
    <comment ref="C6809" authorId="2">
      <text>
        <r>
          <rPr>
            <sz val="11"/>
            <color theme="1"/>
            <rFont val="Calibri"/>
            <family val="2"/>
            <scheme val="minor"/>
          </rPr>
          <t>Introduzca la fecha de inicio del proceso, en formato dd-mm-aaaa</t>
        </r>
      </text>
    </comment>
    <comment ref="F680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0" authorId="2">
      <text/>
    </comment>
    <comment ref="C6811" authorId="2">
      <text>
        <r>
          <rPr>
            <sz val="11"/>
            <color theme="1"/>
            <rFont val="Calibri"/>
            <family val="2"/>
            <scheme val="minor"/>
          </rPr>
          <t>Introduzca la fecha prevista de adjudicación, en formato dd-mm-aaaa</t>
        </r>
      </text>
    </comment>
    <comment ref="F6811" authorId="2">
      <text/>
    </comment>
    <comment ref="F6812" authorId="2">
      <text/>
    </comment>
    <comment ref="A6814" authorId="2">
      <text>
        <r>
          <rPr>
            <sz val="11"/>
            <color theme="1"/>
            <rFont val="Calibri"/>
            <family val="2"/>
            <scheme val="minor"/>
          </rPr>
          <t>Introduzca un codigo UNSPSC</t>
        </r>
      </text>
    </comment>
    <comment ref="B6814" authorId="2">
      <text>
        <r>
          <rPr>
            <sz val="11"/>
            <color theme="1"/>
            <rFont val="Calibri"/>
            <family val="2"/>
            <scheme val="minor"/>
          </rPr>
          <t>Descripción calculada automáticamente a partir de código del artículo</t>
        </r>
      </text>
    </comment>
    <comment ref="C6814" authorId="2">
      <text>
        <r>
          <rPr>
            <sz val="11"/>
            <color theme="1"/>
            <rFont val="Calibri"/>
            <family val="2"/>
            <scheme val="minor"/>
          </rPr>
          <t>Seleccione un valor de la lista</t>
        </r>
      </text>
    </comment>
    <comment ref="D6814" authorId="2">
      <text>
        <r>
          <rPr>
            <sz val="11"/>
            <color theme="1"/>
            <rFont val="Calibri"/>
            <family val="2"/>
            <scheme val="minor"/>
          </rPr>
          <t>Introduzca un número con dos decimales como máximo. Debe ser igual o mayor a la "Cantidad Real Consumida"</t>
        </r>
      </text>
    </comment>
    <comment ref="E6814" authorId="2">
      <text>
        <r>
          <rPr>
            <sz val="11"/>
            <color theme="1"/>
            <rFont val="Calibri"/>
            <family val="2"/>
            <scheme val="minor"/>
          </rPr>
          <t>Introduzca un número con dos decimales como máximo</t>
        </r>
      </text>
    </comment>
    <comment ref="F6814" authorId="2">
      <text>
        <r>
          <rPr>
            <sz val="11"/>
            <color theme="1"/>
            <rFont val="Calibri"/>
            <family val="2"/>
            <scheme val="minor"/>
          </rPr>
          <t>Monto calculado automáticamente por el sistema</t>
        </r>
      </text>
    </comment>
    <comment ref="A6819" authorId="2">
      <text>
        <r>
          <rPr>
            <sz val="11"/>
            <color theme="1"/>
            <rFont val="Calibri"/>
            <family val="2"/>
            <scheme val="minor"/>
          </rPr>
          <t>Introducir un texto con el nombre o referencia de la contratación</t>
        </r>
      </text>
    </comment>
    <comment ref="B6819" authorId="2">
      <text>
        <r>
          <rPr>
            <sz val="11"/>
            <color theme="1"/>
            <rFont val="Calibri"/>
            <family val="2"/>
            <scheme val="minor"/>
          </rPr>
          <t>Introduzca un texto con la finalidad de la contratación</t>
        </r>
      </text>
    </comment>
    <comment ref="C6819" authorId="2">
      <text>
        <r>
          <rPr>
            <sz val="11"/>
            <color theme="1"/>
            <rFont val="Calibri"/>
            <family val="2"/>
            <scheme val="minor"/>
          </rPr>
          <t>Seleccionar un valor del listado</t>
        </r>
      </text>
    </comment>
    <comment ref="D6819" authorId="2">
      <text>
        <r>
          <rPr>
            <sz val="11"/>
            <color theme="1"/>
            <rFont val="Calibri"/>
            <family val="2"/>
            <scheme val="minor"/>
          </rPr>
          <t>Seleccione el tipo de procedimiento</t>
        </r>
      </text>
    </comment>
    <comment ref="E6819" authorId="2">
      <text>
        <r>
          <rPr>
            <sz val="11"/>
            <color theme="1"/>
            <rFont val="Calibri"/>
            <family val="2"/>
            <scheme val="minor"/>
          </rPr>
          <t>Seleccione un valor de la lista</t>
        </r>
      </text>
    </comment>
    <comment ref="F6819" authorId="2">
      <text>
        <r>
          <rPr>
            <sz val="11"/>
            <color theme="1"/>
            <rFont val="Calibri"/>
            <family val="2"/>
            <scheme val="minor"/>
          </rPr>
          <t>Introduzca el código SNIP</t>
        </r>
      </text>
    </comment>
    <comment ref="C6820" authorId="2">
      <text>
        <r>
          <rPr>
            <sz val="11"/>
            <color theme="1"/>
            <rFont val="Calibri"/>
            <family val="2"/>
            <scheme val="minor"/>
          </rPr>
          <t>Introduzca la fecha de inicio del proceso, en formato dd-mm-aaaa</t>
        </r>
      </text>
    </comment>
    <comment ref="F68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1" authorId="2">
      <text/>
    </comment>
    <comment ref="C6822" authorId="2">
      <text>
        <r>
          <rPr>
            <sz val="11"/>
            <color theme="1"/>
            <rFont val="Calibri"/>
            <family val="2"/>
            <scheme val="minor"/>
          </rPr>
          <t>Introduzca la fecha prevista de adjudicación, en formato dd-mm-aaaa</t>
        </r>
      </text>
    </comment>
    <comment ref="F6822" authorId="2">
      <text/>
    </comment>
    <comment ref="F6823" authorId="2">
      <text/>
    </comment>
    <comment ref="A6825" authorId="2">
      <text>
        <r>
          <rPr>
            <sz val="11"/>
            <color theme="1"/>
            <rFont val="Calibri"/>
            <family val="2"/>
            <scheme val="minor"/>
          </rPr>
          <t>Introduzca un codigo UNSPSC</t>
        </r>
      </text>
    </comment>
    <comment ref="B6825" authorId="2">
      <text>
        <r>
          <rPr>
            <sz val="11"/>
            <color theme="1"/>
            <rFont val="Calibri"/>
            <family val="2"/>
            <scheme val="minor"/>
          </rPr>
          <t>Descripción calculada automáticamente a partir de código del artículo</t>
        </r>
      </text>
    </comment>
    <comment ref="C6825" authorId="2">
      <text>
        <r>
          <rPr>
            <sz val="11"/>
            <color theme="1"/>
            <rFont val="Calibri"/>
            <family val="2"/>
            <scheme val="minor"/>
          </rPr>
          <t>Seleccione un valor de la lista</t>
        </r>
      </text>
    </comment>
    <comment ref="D6825" authorId="2">
      <text>
        <r>
          <rPr>
            <sz val="11"/>
            <color theme="1"/>
            <rFont val="Calibri"/>
            <family val="2"/>
            <scheme val="minor"/>
          </rPr>
          <t>Introduzca un número con dos decimales como máximo. Debe ser igual o mayor a la "Cantidad Real Consumida"</t>
        </r>
      </text>
    </comment>
    <comment ref="E6825" authorId="2">
      <text>
        <r>
          <rPr>
            <sz val="11"/>
            <color theme="1"/>
            <rFont val="Calibri"/>
            <family val="2"/>
            <scheme val="minor"/>
          </rPr>
          <t>Introduzca un número con dos decimales como máximo</t>
        </r>
      </text>
    </comment>
    <comment ref="F6825" authorId="2">
      <text>
        <r>
          <rPr>
            <sz val="11"/>
            <color theme="1"/>
            <rFont val="Calibri"/>
            <family val="2"/>
            <scheme val="minor"/>
          </rPr>
          <t>Monto calculado automáticamente por el sistema</t>
        </r>
      </text>
    </comment>
    <comment ref="A6830" authorId="2">
      <text>
        <r>
          <rPr>
            <sz val="11"/>
            <color theme="1"/>
            <rFont val="Calibri"/>
            <family val="2"/>
            <scheme val="minor"/>
          </rPr>
          <t>Introducir un texto con el nombre o referencia de la contratación</t>
        </r>
      </text>
    </comment>
    <comment ref="B6830" authorId="2">
      <text>
        <r>
          <rPr>
            <sz val="11"/>
            <color theme="1"/>
            <rFont val="Calibri"/>
            <family val="2"/>
            <scheme val="minor"/>
          </rPr>
          <t>Introduzca un texto con la finalidad de la contratación</t>
        </r>
      </text>
    </comment>
    <comment ref="C6830" authorId="2">
      <text>
        <r>
          <rPr>
            <sz val="11"/>
            <color theme="1"/>
            <rFont val="Calibri"/>
            <family val="2"/>
            <scheme val="minor"/>
          </rPr>
          <t>Seleccionar un valor del listado</t>
        </r>
      </text>
    </comment>
    <comment ref="D6830" authorId="2">
      <text>
        <r>
          <rPr>
            <sz val="11"/>
            <color theme="1"/>
            <rFont val="Calibri"/>
            <family val="2"/>
            <scheme val="minor"/>
          </rPr>
          <t>Seleccione el tipo de procedimiento</t>
        </r>
      </text>
    </comment>
    <comment ref="E6830" authorId="2">
      <text>
        <r>
          <rPr>
            <sz val="11"/>
            <color theme="1"/>
            <rFont val="Calibri"/>
            <family val="2"/>
            <scheme val="minor"/>
          </rPr>
          <t>Seleccione un valor de la lista</t>
        </r>
      </text>
    </comment>
    <comment ref="F6830" authorId="2">
      <text>
        <r>
          <rPr>
            <sz val="11"/>
            <color theme="1"/>
            <rFont val="Calibri"/>
            <family val="2"/>
            <scheme val="minor"/>
          </rPr>
          <t>Introduzca el código SNIP</t>
        </r>
      </text>
    </comment>
    <comment ref="C6831" authorId="2">
      <text>
        <r>
          <rPr>
            <sz val="11"/>
            <color theme="1"/>
            <rFont val="Calibri"/>
            <family val="2"/>
            <scheme val="minor"/>
          </rPr>
          <t>Introduzca la fecha de inicio del proceso, en formato dd-mm-aaaa</t>
        </r>
      </text>
    </comment>
    <comment ref="F68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2" authorId="2">
      <text/>
    </comment>
    <comment ref="C6833" authorId="2">
      <text>
        <r>
          <rPr>
            <sz val="11"/>
            <color theme="1"/>
            <rFont val="Calibri"/>
            <family val="2"/>
            <scheme val="minor"/>
          </rPr>
          <t>Introduzca la fecha prevista de adjudicación, en formato dd-mm-aaaa</t>
        </r>
      </text>
    </comment>
    <comment ref="F6833" authorId="2">
      <text/>
    </comment>
    <comment ref="F6834" authorId="2">
      <text/>
    </comment>
    <comment ref="A6836" authorId="2">
      <text>
        <r>
          <rPr>
            <sz val="11"/>
            <color theme="1"/>
            <rFont val="Calibri"/>
            <family val="2"/>
            <scheme val="minor"/>
          </rPr>
          <t>Introduzca un codigo UNSPSC</t>
        </r>
      </text>
    </comment>
    <comment ref="B6836" authorId="2">
      <text>
        <r>
          <rPr>
            <sz val="11"/>
            <color theme="1"/>
            <rFont val="Calibri"/>
            <family val="2"/>
            <scheme val="minor"/>
          </rPr>
          <t>Descripción calculada automáticamente a partir de código del artículo</t>
        </r>
      </text>
    </comment>
    <comment ref="C6836" authorId="2">
      <text>
        <r>
          <rPr>
            <sz val="11"/>
            <color theme="1"/>
            <rFont val="Calibri"/>
            <family val="2"/>
            <scheme val="minor"/>
          </rPr>
          <t>Seleccione un valor de la lista</t>
        </r>
      </text>
    </comment>
    <comment ref="D6836" authorId="2">
      <text>
        <r>
          <rPr>
            <sz val="11"/>
            <color theme="1"/>
            <rFont val="Calibri"/>
            <family val="2"/>
            <scheme val="minor"/>
          </rPr>
          <t>Introduzca un número con dos decimales como máximo. Debe ser igual o mayor a la "Cantidad Real Consumida"</t>
        </r>
      </text>
    </comment>
    <comment ref="E6836" authorId="2">
      <text>
        <r>
          <rPr>
            <sz val="11"/>
            <color theme="1"/>
            <rFont val="Calibri"/>
            <family val="2"/>
            <scheme val="minor"/>
          </rPr>
          <t>Introduzca un número con dos decimales como máximo</t>
        </r>
      </text>
    </comment>
    <comment ref="F6836" authorId="2">
      <text>
        <r>
          <rPr>
            <sz val="11"/>
            <color theme="1"/>
            <rFont val="Calibri"/>
            <family val="2"/>
            <scheme val="minor"/>
          </rPr>
          <t>Monto calculado automáticamente por el sistema</t>
        </r>
      </text>
    </comment>
    <comment ref="A6851" authorId="2">
      <text>
        <r>
          <rPr>
            <sz val="11"/>
            <color theme="1"/>
            <rFont val="Calibri"/>
            <family val="2"/>
            <scheme val="minor"/>
          </rPr>
          <t>Introducir un texto con el nombre o referencia de la contratación</t>
        </r>
      </text>
    </comment>
    <comment ref="B6851" authorId="2">
      <text>
        <r>
          <rPr>
            <sz val="11"/>
            <color theme="1"/>
            <rFont val="Calibri"/>
            <family val="2"/>
            <scheme val="minor"/>
          </rPr>
          <t>Introduzca un texto con la finalidad de la contratación</t>
        </r>
      </text>
    </comment>
    <comment ref="C6851" authorId="2">
      <text>
        <r>
          <rPr>
            <sz val="11"/>
            <color theme="1"/>
            <rFont val="Calibri"/>
            <family val="2"/>
            <scheme val="minor"/>
          </rPr>
          <t>Seleccionar un valor del listado</t>
        </r>
      </text>
    </comment>
    <comment ref="D6851" authorId="2">
      <text>
        <r>
          <rPr>
            <sz val="11"/>
            <color theme="1"/>
            <rFont val="Calibri"/>
            <family val="2"/>
            <scheme val="minor"/>
          </rPr>
          <t>Seleccione el tipo de procedimiento</t>
        </r>
      </text>
    </comment>
    <comment ref="E6851" authorId="2">
      <text>
        <r>
          <rPr>
            <sz val="11"/>
            <color theme="1"/>
            <rFont val="Calibri"/>
            <family val="2"/>
            <scheme val="minor"/>
          </rPr>
          <t>Seleccione un valor de la lista</t>
        </r>
      </text>
    </comment>
    <comment ref="F6851" authorId="2">
      <text>
        <r>
          <rPr>
            <sz val="11"/>
            <color theme="1"/>
            <rFont val="Calibri"/>
            <family val="2"/>
            <scheme val="minor"/>
          </rPr>
          <t>Introduzca el código SNIP</t>
        </r>
      </text>
    </comment>
    <comment ref="C6852" authorId="2">
      <text>
        <r>
          <rPr>
            <sz val="11"/>
            <color theme="1"/>
            <rFont val="Calibri"/>
            <family val="2"/>
            <scheme val="minor"/>
          </rPr>
          <t>Introduzca la fecha de inicio del proceso, en formato dd-mm-aaaa</t>
        </r>
      </text>
    </comment>
    <comment ref="F685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3" authorId="2">
      <text/>
    </comment>
    <comment ref="C6854" authorId="2">
      <text>
        <r>
          <rPr>
            <sz val="11"/>
            <color theme="1"/>
            <rFont val="Calibri"/>
            <family val="2"/>
            <scheme val="minor"/>
          </rPr>
          <t>Introduzca la fecha prevista de adjudicación, en formato dd-mm-aaaa</t>
        </r>
      </text>
    </comment>
    <comment ref="F6854" authorId="2">
      <text/>
    </comment>
    <comment ref="F6855" authorId="2">
      <text/>
    </comment>
    <comment ref="A6857" authorId="2">
      <text>
        <r>
          <rPr>
            <sz val="11"/>
            <color theme="1"/>
            <rFont val="Calibri"/>
            <family val="2"/>
            <scheme val="minor"/>
          </rPr>
          <t>Introduzca un codigo UNSPSC</t>
        </r>
      </text>
    </comment>
    <comment ref="B6857" authorId="2">
      <text>
        <r>
          <rPr>
            <sz val="11"/>
            <color theme="1"/>
            <rFont val="Calibri"/>
            <family val="2"/>
            <scheme val="minor"/>
          </rPr>
          <t>Descripción calculada automáticamente a partir de código del artículo</t>
        </r>
      </text>
    </comment>
    <comment ref="C6857" authorId="2">
      <text>
        <r>
          <rPr>
            <sz val="11"/>
            <color theme="1"/>
            <rFont val="Calibri"/>
            <family val="2"/>
            <scheme val="minor"/>
          </rPr>
          <t>Seleccione un valor de la lista</t>
        </r>
      </text>
    </comment>
    <comment ref="D6857" authorId="2">
      <text>
        <r>
          <rPr>
            <sz val="11"/>
            <color theme="1"/>
            <rFont val="Calibri"/>
            <family val="2"/>
            <scheme val="minor"/>
          </rPr>
          <t>Introduzca un número con dos decimales como máximo. Debe ser igual o mayor a la "Cantidad Real Consumida"</t>
        </r>
      </text>
    </comment>
    <comment ref="E6857" authorId="2">
      <text>
        <r>
          <rPr>
            <sz val="11"/>
            <color theme="1"/>
            <rFont val="Calibri"/>
            <family val="2"/>
            <scheme val="minor"/>
          </rPr>
          <t>Introduzca un número con dos decimales como máximo</t>
        </r>
      </text>
    </comment>
    <comment ref="F6857" authorId="2">
      <text>
        <r>
          <rPr>
            <sz val="11"/>
            <color theme="1"/>
            <rFont val="Calibri"/>
            <family val="2"/>
            <scheme val="minor"/>
          </rPr>
          <t>Monto calculado automáticamente por el sistema</t>
        </r>
      </text>
    </comment>
    <comment ref="A6862" authorId="2">
      <text>
        <r>
          <rPr>
            <sz val="11"/>
            <color theme="1"/>
            <rFont val="Calibri"/>
            <family val="2"/>
            <scheme val="minor"/>
          </rPr>
          <t>Introducir un texto con el nombre o referencia de la contratación</t>
        </r>
      </text>
    </comment>
    <comment ref="B6862" authorId="2">
      <text>
        <r>
          <rPr>
            <sz val="11"/>
            <color theme="1"/>
            <rFont val="Calibri"/>
            <family val="2"/>
            <scheme val="minor"/>
          </rPr>
          <t>Introduzca un texto con la finalidad de la contratación</t>
        </r>
      </text>
    </comment>
    <comment ref="C6862" authorId="2">
      <text>
        <r>
          <rPr>
            <sz val="11"/>
            <color theme="1"/>
            <rFont val="Calibri"/>
            <family val="2"/>
            <scheme val="minor"/>
          </rPr>
          <t>Seleccionar un valor del listado</t>
        </r>
      </text>
    </comment>
    <comment ref="D6862" authorId="2">
      <text>
        <r>
          <rPr>
            <sz val="11"/>
            <color theme="1"/>
            <rFont val="Calibri"/>
            <family val="2"/>
            <scheme val="minor"/>
          </rPr>
          <t>Seleccione el tipo de procedimiento</t>
        </r>
      </text>
    </comment>
    <comment ref="E6862" authorId="2">
      <text>
        <r>
          <rPr>
            <sz val="11"/>
            <color theme="1"/>
            <rFont val="Calibri"/>
            <family val="2"/>
            <scheme val="minor"/>
          </rPr>
          <t>Seleccione un valor de la lista</t>
        </r>
      </text>
    </comment>
    <comment ref="F6862" authorId="2">
      <text>
        <r>
          <rPr>
            <sz val="11"/>
            <color theme="1"/>
            <rFont val="Calibri"/>
            <family val="2"/>
            <scheme val="minor"/>
          </rPr>
          <t>Introduzca el código SNIP</t>
        </r>
      </text>
    </comment>
    <comment ref="C6863" authorId="2">
      <text>
        <r>
          <rPr>
            <sz val="11"/>
            <color theme="1"/>
            <rFont val="Calibri"/>
            <family val="2"/>
            <scheme val="minor"/>
          </rPr>
          <t>Introduzca la fecha de inicio del proceso, en formato dd-mm-aaaa</t>
        </r>
      </text>
    </comment>
    <comment ref="F68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4" authorId="2">
      <text/>
    </comment>
    <comment ref="C6865" authorId="2">
      <text>
        <r>
          <rPr>
            <sz val="11"/>
            <color theme="1"/>
            <rFont val="Calibri"/>
            <family val="2"/>
            <scheme val="minor"/>
          </rPr>
          <t>Introduzca la fecha prevista de adjudicación, en formato dd-mm-aaaa</t>
        </r>
      </text>
    </comment>
    <comment ref="F6865" authorId="2">
      <text/>
    </comment>
    <comment ref="F6866" authorId="2">
      <text/>
    </comment>
    <comment ref="A6868" authorId="2">
      <text>
        <r>
          <rPr>
            <sz val="11"/>
            <color theme="1"/>
            <rFont val="Calibri"/>
            <family val="2"/>
            <scheme val="minor"/>
          </rPr>
          <t>Introduzca un codigo UNSPSC</t>
        </r>
      </text>
    </comment>
    <comment ref="B6868" authorId="2">
      <text>
        <r>
          <rPr>
            <sz val="11"/>
            <color theme="1"/>
            <rFont val="Calibri"/>
            <family val="2"/>
            <scheme val="minor"/>
          </rPr>
          <t>Descripción calculada automáticamente a partir de código del artículo</t>
        </r>
      </text>
    </comment>
    <comment ref="C6868" authorId="2">
      <text>
        <r>
          <rPr>
            <sz val="11"/>
            <color theme="1"/>
            <rFont val="Calibri"/>
            <family val="2"/>
            <scheme val="minor"/>
          </rPr>
          <t>Seleccione un valor de la lista</t>
        </r>
      </text>
    </comment>
    <comment ref="D6868" authorId="2">
      <text>
        <r>
          <rPr>
            <sz val="11"/>
            <color theme="1"/>
            <rFont val="Calibri"/>
            <family val="2"/>
            <scheme val="minor"/>
          </rPr>
          <t>Introduzca un número con dos decimales como máximo. Debe ser igual o mayor a la "Cantidad Real Consumida"</t>
        </r>
      </text>
    </comment>
    <comment ref="E6868" authorId="2">
      <text>
        <r>
          <rPr>
            <sz val="11"/>
            <color theme="1"/>
            <rFont val="Calibri"/>
            <family val="2"/>
            <scheme val="minor"/>
          </rPr>
          <t>Introduzca un número con dos decimales como máximo</t>
        </r>
      </text>
    </comment>
    <comment ref="F6868" authorId="2">
      <text>
        <r>
          <rPr>
            <sz val="11"/>
            <color theme="1"/>
            <rFont val="Calibri"/>
            <family val="2"/>
            <scheme val="minor"/>
          </rPr>
          <t>Monto calculado automáticamente por el sistema</t>
        </r>
      </text>
    </comment>
    <comment ref="A6873" authorId="2">
      <text>
        <r>
          <rPr>
            <sz val="11"/>
            <color theme="1"/>
            <rFont val="Calibri"/>
            <family val="2"/>
            <scheme val="minor"/>
          </rPr>
          <t>Introducir un texto con el nombre o referencia de la contratación</t>
        </r>
      </text>
    </comment>
    <comment ref="B6873" authorId="2">
      <text>
        <r>
          <rPr>
            <sz val="11"/>
            <color theme="1"/>
            <rFont val="Calibri"/>
            <family val="2"/>
            <scheme val="minor"/>
          </rPr>
          <t>Introduzca un texto con la finalidad de la contratación</t>
        </r>
      </text>
    </comment>
    <comment ref="C6873" authorId="2">
      <text>
        <r>
          <rPr>
            <sz val="11"/>
            <color theme="1"/>
            <rFont val="Calibri"/>
            <family val="2"/>
            <scheme val="minor"/>
          </rPr>
          <t>Seleccionar un valor del listado</t>
        </r>
      </text>
    </comment>
    <comment ref="D6873" authorId="2">
      <text>
        <r>
          <rPr>
            <sz val="11"/>
            <color theme="1"/>
            <rFont val="Calibri"/>
            <family val="2"/>
            <scheme val="minor"/>
          </rPr>
          <t>Seleccione el tipo de procedimiento</t>
        </r>
      </text>
    </comment>
    <comment ref="E6873" authorId="2">
      <text>
        <r>
          <rPr>
            <sz val="11"/>
            <color theme="1"/>
            <rFont val="Calibri"/>
            <family val="2"/>
            <scheme val="minor"/>
          </rPr>
          <t>Seleccione un valor de la lista</t>
        </r>
      </text>
    </comment>
    <comment ref="F6873" authorId="2">
      <text>
        <r>
          <rPr>
            <sz val="11"/>
            <color theme="1"/>
            <rFont val="Calibri"/>
            <family val="2"/>
            <scheme val="minor"/>
          </rPr>
          <t>Introduzca el código SNIP</t>
        </r>
      </text>
    </comment>
    <comment ref="C6874" authorId="2">
      <text>
        <r>
          <rPr>
            <sz val="11"/>
            <color theme="1"/>
            <rFont val="Calibri"/>
            <family val="2"/>
            <scheme val="minor"/>
          </rPr>
          <t>Introduzca la fecha de inicio del proceso, en formato dd-mm-aaaa</t>
        </r>
      </text>
    </comment>
    <comment ref="F68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5" authorId="2">
      <text/>
    </comment>
    <comment ref="C6876" authorId="2">
      <text>
        <r>
          <rPr>
            <sz val="11"/>
            <color theme="1"/>
            <rFont val="Calibri"/>
            <family val="2"/>
            <scheme val="minor"/>
          </rPr>
          <t>Introduzca la fecha prevista de adjudicación, en formato dd-mm-aaaa</t>
        </r>
      </text>
    </comment>
    <comment ref="F6876" authorId="2">
      <text/>
    </comment>
    <comment ref="F6877" authorId="2">
      <text/>
    </comment>
    <comment ref="A6879" authorId="2">
      <text>
        <r>
          <rPr>
            <sz val="11"/>
            <color theme="1"/>
            <rFont val="Calibri"/>
            <family val="2"/>
            <scheme val="minor"/>
          </rPr>
          <t>Introduzca un codigo UNSPSC</t>
        </r>
      </text>
    </comment>
    <comment ref="B6879" authorId="2">
      <text>
        <r>
          <rPr>
            <sz val="11"/>
            <color theme="1"/>
            <rFont val="Calibri"/>
            <family val="2"/>
            <scheme val="minor"/>
          </rPr>
          <t>Descripción calculada automáticamente a partir de código del artículo</t>
        </r>
      </text>
    </comment>
    <comment ref="C6879" authorId="2">
      <text>
        <r>
          <rPr>
            <sz val="11"/>
            <color theme="1"/>
            <rFont val="Calibri"/>
            <family val="2"/>
            <scheme val="minor"/>
          </rPr>
          <t>Seleccione un valor de la lista</t>
        </r>
      </text>
    </comment>
    <comment ref="D6879" authorId="2">
      <text>
        <r>
          <rPr>
            <sz val="11"/>
            <color theme="1"/>
            <rFont val="Calibri"/>
            <family val="2"/>
            <scheme val="minor"/>
          </rPr>
          <t>Introduzca un número con dos decimales como máximo. Debe ser igual o mayor a la "Cantidad Real Consumida"</t>
        </r>
      </text>
    </comment>
    <comment ref="E6879" authorId="2">
      <text>
        <r>
          <rPr>
            <sz val="11"/>
            <color theme="1"/>
            <rFont val="Calibri"/>
            <family val="2"/>
            <scheme val="minor"/>
          </rPr>
          <t>Introduzca un número con dos decimales como máximo</t>
        </r>
      </text>
    </comment>
    <comment ref="F6879" authorId="2">
      <text>
        <r>
          <rPr>
            <sz val="11"/>
            <color theme="1"/>
            <rFont val="Calibri"/>
            <family val="2"/>
            <scheme val="minor"/>
          </rPr>
          <t>Monto calculado automáticamente por el sistema</t>
        </r>
      </text>
    </comment>
    <comment ref="A6897" authorId="2">
      <text>
        <r>
          <rPr>
            <sz val="11"/>
            <color theme="1"/>
            <rFont val="Calibri"/>
            <family val="2"/>
            <scheme val="minor"/>
          </rPr>
          <t>Introducir un texto con el nombre o referencia de la contratación</t>
        </r>
      </text>
    </comment>
    <comment ref="B6897" authorId="2">
      <text>
        <r>
          <rPr>
            <sz val="11"/>
            <color theme="1"/>
            <rFont val="Calibri"/>
            <family val="2"/>
            <scheme val="minor"/>
          </rPr>
          <t>Introduzca un texto con la finalidad de la contratación</t>
        </r>
      </text>
    </comment>
    <comment ref="C6897" authorId="2">
      <text>
        <r>
          <rPr>
            <sz val="11"/>
            <color theme="1"/>
            <rFont val="Calibri"/>
            <family val="2"/>
            <scheme val="minor"/>
          </rPr>
          <t>Seleccionar un valor del listado</t>
        </r>
      </text>
    </comment>
    <comment ref="D6897" authorId="2">
      <text>
        <r>
          <rPr>
            <sz val="11"/>
            <color theme="1"/>
            <rFont val="Calibri"/>
            <family val="2"/>
            <scheme val="minor"/>
          </rPr>
          <t>Seleccione el tipo de procedimiento</t>
        </r>
      </text>
    </comment>
    <comment ref="E6897" authorId="2">
      <text>
        <r>
          <rPr>
            <sz val="11"/>
            <color theme="1"/>
            <rFont val="Calibri"/>
            <family val="2"/>
            <scheme val="minor"/>
          </rPr>
          <t>Seleccione un valor de la lista</t>
        </r>
      </text>
    </comment>
    <comment ref="F6897" authorId="2">
      <text>
        <r>
          <rPr>
            <sz val="11"/>
            <color theme="1"/>
            <rFont val="Calibri"/>
            <family val="2"/>
            <scheme val="minor"/>
          </rPr>
          <t>Introduzca el código SNIP</t>
        </r>
      </text>
    </comment>
    <comment ref="C6898" authorId="2">
      <text>
        <r>
          <rPr>
            <sz val="11"/>
            <color theme="1"/>
            <rFont val="Calibri"/>
            <family val="2"/>
            <scheme val="minor"/>
          </rPr>
          <t>Introduzca la fecha de inicio del proceso, en formato dd-mm-aaaa</t>
        </r>
      </text>
    </comment>
    <comment ref="F68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9" authorId="2">
      <text/>
    </comment>
    <comment ref="C6900" authorId="2">
      <text>
        <r>
          <rPr>
            <sz val="11"/>
            <color theme="1"/>
            <rFont val="Calibri"/>
            <family val="2"/>
            <scheme val="minor"/>
          </rPr>
          <t>Introduzca la fecha prevista de adjudicación, en formato dd-mm-aaaa</t>
        </r>
      </text>
    </comment>
    <comment ref="F6900" authorId="2">
      <text/>
    </comment>
    <comment ref="F6901" authorId="2">
      <text/>
    </comment>
    <comment ref="A6903" authorId="2">
      <text>
        <r>
          <rPr>
            <sz val="11"/>
            <color theme="1"/>
            <rFont val="Calibri"/>
            <family val="2"/>
            <scheme val="minor"/>
          </rPr>
          <t>Introduzca un codigo UNSPSC</t>
        </r>
      </text>
    </comment>
    <comment ref="B6903" authorId="2">
      <text>
        <r>
          <rPr>
            <sz val="11"/>
            <color theme="1"/>
            <rFont val="Calibri"/>
            <family val="2"/>
            <scheme val="minor"/>
          </rPr>
          <t>Descripción calculada automáticamente a partir de código del artículo</t>
        </r>
      </text>
    </comment>
    <comment ref="C6903" authorId="2">
      <text>
        <r>
          <rPr>
            <sz val="11"/>
            <color theme="1"/>
            <rFont val="Calibri"/>
            <family val="2"/>
            <scheme val="minor"/>
          </rPr>
          <t>Seleccione un valor de la lista</t>
        </r>
      </text>
    </comment>
    <comment ref="D6903" authorId="2">
      <text>
        <r>
          <rPr>
            <sz val="11"/>
            <color theme="1"/>
            <rFont val="Calibri"/>
            <family val="2"/>
            <scheme val="minor"/>
          </rPr>
          <t>Introduzca un número con dos decimales como máximo. Debe ser igual o mayor a la "Cantidad Real Consumida"</t>
        </r>
      </text>
    </comment>
    <comment ref="E6903" authorId="2">
      <text>
        <r>
          <rPr>
            <sz val="11"/>
            <color theme="1"/>
            <rFont val="Calibri"/>
            <family val="2"/>
            <scheme val="minor"/>
          </rPr>
          <t>Introduzca un número con dos decimales como máximo</t>
        </r>
      </text>
    </comment>
    <comment ref="F6903" authorId="2">
      <text>
        <r>
          <rPr>
            <sz val="11"/>
            <color theme="1"/>
            <rFont val="Calibri"/>
            <family val="2"/>
            <scheme val="minor"/>
          </rPr>
          <t>Monto calculado automáticamente por el sistema</t>
        </r>
      </text>
    </comment>
    <comment ref="A6909" authorId="2">
      <text>
        <r>
          <rPr>
            <sz val="11"/>
            <color theme="1"/>
            <rFont val="Calibri"/>
            <family val="2"/>
            <scheme val="minor"/>
          </rPr>
          <t>Introducir un texto con el nombre o referencia de la contratación</t>
        </r>
      </text>
    </comment>
    <comment ref="B6909" authorId="2">
      <text>
        <r>
          <rPr>
            <sz val="11"/>
            <color theme="1"/>
            <rFont val="Calibri"/>
            <family val="2"/>
            <scheme val="minor"/>
          </rPr>
          <t>Introduzca un texto con la finalidad de la contratación</t>
        </r>
      </text>
    </comment>
    <comment ref="C6909" authorId="2">
      <text>
        <r>
          <rPr>
            <sz val="11"/>
            <color theme="1"/>
            <rFont val="Calibri"/>
            <family val="2"/>
            <scheme val="minor"/>
          </rPr>
          <t>Seleccionar un valor del listado</t>
        </r>
      </text>
    </comment>
    <comment ref="D6909" authorId="2">
      <text>
        <r>
          <rPr>
            <sz val="11"/>
            <color theme="1"/>
            <rFont val="Calibri"/>
            <family val="2"/>
            <scheme val="minor"/>
          </rPr>
          <t>Seleccione el tipo de procedimiento</t>
        </r>
      </text>
    </comment>
    <comment ref="E6909" authorId="2">
      <text>
        <r>
          <rPr>
            <sz val="11"/>
            <color theme="1"/>
            <rFont val="Calibri"/>
            <family val="2"/>
            <scheme val="minor"/>
          </rPr>
          <t>Seleccione un valor de la lista</t>
        </r>
      </text>
    </comment>
    <comment ref="F6909" authorId="2">
      <text>
        <r>
          <rPr>
            <sz val="11"/>
            <color theme="1"/>
            <rFont val="Calibri"/>
            <family val="2"/>
            <scheme val="minor"/>
          </rPr>
          <t>Introduzca el código SNIP</t>
        </r>
      </text>
    </comment>
    <comment ref="C6910" authorId="2">
      <text>
        <r>
          <rPr>
            <sz val="11"/>
            <color theme="1"/>
            <rFont val="Calibri"/>
            <family val="2"/>
            <scheme val="minor"/>
          </rPr>
          <t>Introduzca la fecha de inicio del proceso, en formato dd-mm-aaaa</t>
        </r>
      </text>
    </comment>
    <comment ref="F69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1" authorId="2">
      <text/>
    </comment>
    <comment ref="C6912" authorId="2">
      <text>
        <r>
          <rPr>
            <sz val="11"/>
            <color theme="1"/>
            <rFont val="Calibri"/>
            <family val="2"/>
            <scheme val="minor"/>
          </rPr>
          <t>Introduzca la fecha prevista de adjudicación, en formato dd-mm-aaaa</t>
        </r>
      </text>
    </comment>
    <comment ref="F6912" authorId="2">
      <text/>
    </comment>
    <comment ref="F6913" authorId="2">
      <text/>
    </comment>
    <comment ref="A6915" authorId="2">
      <text>
        <r>
          <rPr>
            <sz val="11"/>
            <color theme="1"/>
            <rFont val="Calibri"/>
            <family val="2"/>
            <scheme val="minor"/>
          </rPr>
          <t>Introduzca un codigo UNSPSC</t>
        </r>
      </text>
    </comment>
    <comment ref="B6915" authorId="2">
      <text>
        <r>
          <rPr>
            <sz val="11"/>
            <color theme="1"/>
            <rFont val="Calibri"/>
            <family val="2"/>
            <scheme val="minor"/>
          </rPr>
          <t>Descripción calculada automáticamente a partir de código del artículo</t>
        </r>
      </text>
    </comment>
    <comment ref="C6915" authorId="2">
      <text>
        <r>
          <rPr>
            <sz val="11"/>
            <color theme="1"/>
            <rFont val="Calibri"/>
            <family val="2"/>
            <scheme val="minor"/>
          </rPr>
          <t>Seleccione un valor de la lista</t>
        </r>
      </text>
    </comment>
    <comment ref="D6915" authorId="2">
      <text>
        <r>
          <rPr>
            <sz val="11"/>
            <color theme="1"/>
            <rFont val="Calibri"/>
            <family val="2"/>
            <scheme val="minor"/>
          </rPr>
          <t>Introduzca un número con dos decimales como máximo. Debe ser igual o mayor a la "Cantidad Real Consumida"</t>
        </r>
      </text>
    </comment>
    <comment ref="E6915" authorId="2">
      <text>
        <r>
          <rPr>
            <sz val="11"/>
            <color theme="1"/>
            <rFont val="Calibri"/>
            <family val="2"/>
            <scheme val="minor"/>
          </rPr>
          <t>Introduzca un número con dos decimales como máximo</t>
        </r>
      </text>
    </comment>
    <comment ref="F6915" authorId="2">
      <text>
        <r>
          <rPr>
            <sz val="11"/>
            <color theme="1"/>
            <rFont val="Calibri"/>
            <family val="2"/>
            <scheme val="minor"/>
          </rPr>
          <t>Monto calculado automáticamente por el sistema</t>
        </r>
      </text>
    </comment>
    <comment ref="A6920" authorId="2">
      <text>
        <r>
          <rPr>
            <sz val="11"/>
            <color theme="1"/>
            <rFont val="Calibri"/>
            <family val="2"/>
            <scheme val="minor"/>
          </rPr>
          <t>Introducir un texto con el nombre o referencia de la contratación</t>
        </r>
      </text>
    </comment>
    <comment ref="B6920" authorId="2">
      <text>
        <r>
          <rPr>
            <sz val="11"/>
            <color theme="1"/>
            <rFont val="Calibri"/>
            <family val="2"/>
            <scheme val="minor"/>
          </rPr>
          <t>Introduzca un texto con la finalidad de la contratación</t>
        </r>
      </text>
    </comment>
    <comment ref="C6920" authorId="2">
      <text>
        <r>
          <rPr>
            <sz val="11"/>
            <color theme="1"/>
            <rFont val="Calibri"/>
            <family val="2"/>
            <scheme val="minor"/>
          </rPr>
          <t>Seleccionar un valor del listado</t>
        </r>
      </text>
    </comment>
    <comment ref="D6920" authorId="2">
      <text>
        <r>
          <rPr>
            <sz val="11"/>
            <color theme="1"/>
            <rFont val="Calibri"/>
            <family val="2"/>
            <scheme val="minor"/>
          </rPr>
          <t>Seleccione el tipo de procedimiento</t>
        </r>
      </text>
    </comment>
    <comment ref="E6920" authorId="2">
      <text>
        <r>
          <rPr>
            <sz val="11"/>
            <color theme="1"/>
            <rFont val="Calibri"/>
            <family val="2"/>
            <scheme val="minor"/>
          </rPr>
          <t>Seleccione un valor de la lista</t>
        </r>
      </text>
    </comment>
    <comment ref="F6920" authorId="2">
      <text>
        <r>
          <rPr>
            <sz val="11"/>
            <color theme="1"/>
            <rFont val="Calibri"/>
            <family val="2"/>
            <scheme val="minor"/>
          </rPr>
          <t>Introduzca el código SNIP</t>
        </r>
      </text>
    </comment>
    <comment ref="C6921" authorId="2">
      <text>
        <r>
          <rPr>
            <sz val="11"/>
            <color theme="1"/>
            <rFont val="Calibri"/>
            <family val="2"/>
            <scheme val="minor"/>
          </rPr>
          <t>Introduzca la fecha de inicio del proceso, en formato dd-mm-aaaa</t>
        </r>
      </text>
    </comment>
    <comment ref="F69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2" authorId="2">
      <text/>
    </comment>
    <comment ref="C6923" authorId="2">
      <text>
        <r>
          <rPr>
            <sz val="11"/>
            <color theme="1"/>
            <rFont val="Calibri"/>
            <family val="2"/>
            <scheme val="minor"/>
          </rPr>
          <t>Introduzca la fecha prevista de adjudicación, en formato dd-mm-aaaa</t>
        </r>
      </text>
    </comment>
    <comment ref="F6923" authorId="2">
      <text/>
    </comment>
    <comment ref="F6924" authorId="2">
      <text/>
    </comment>
    <comment ref="A6926" authorId="2">
      <text>
        <r>
          <rPr>
            <sz val="11"/>
            <color theme="1"/>
            <rFont val="Calibri"/>
            <family val="2"/>
            <scheme val="minor"/>
          </rPr>
          <t>Introduzca un codigo UNSPSC</t>
        </r>
      </text>
    </comment>
    <comment ref="B6926" authorId="2">
      <text>
        <r>
          <rPr>
            <sz val="11"/>
            <color theme="1"/>
            <rFont val="Calibri"/>
            <family val="2"/>
            <scheme val="minor"/>
          </rPr>
          <t>Descripción calculada automáticamente a partir de código del artículo</t>
        </r>
      </text>
    </comment>
    <comment ref="C6926" authorId="2">
      <text>
        <r>
          <rPr>
            <sz val="11"/>
            <color theme="1"/>
            <rFont val="Calibri"/>
            <family val="2"/>
            <scheme val="minor"/>
          </rPr>
          <t>Seleccione un valor de la lista</t>
        </r>
      </text>
    </comment>
    <comment ref="D6926" authorId="2">
      <text>
        <r>
          <rPr>
            <sz val="11"/>
            <color theme="1"/>
            <rFont val="Calibri"/>
            <family val="2"/>
            <scheme val="minor"/>
          </rPr>
          <t>Introduzca un número con dos decimales como máximo. Debe ser igual o mayor a la "Cantidad Real Consumida"</t>
        </r>
      </text>
    </comment>
    <comment ref="E6926" authorId="2">
      <text>
        <r>
          <rPr>
            <sz val="11"/>
            <color theme="1"/>
            <rFont val="Calibri"/>
            <family val="2"/>
            <scheme val="minor"/>
          </rPr>
          <t>Introduzca un número con dos decimales como máximo</t>
        </r>
      </text>
    </comment>
    <comment ref="F6926" authorId="2">
      <text>
        <r>
          <rPr>
            <sz val="11"/>
            <color theme="1"/>
            <rFont val="Calibri"/>
            <family val="2"/>
            <scheme val="minor"/>
          </rPr>
          <t>Monto calculado automáticamente por el sistema</t>
        </r>
      </text>
    </comment>
    <comment ref="A6941" authorId="2">
      <text>
        <r>
          <rPr>
            <sz val="11"/>
            <color theme="1"/>
            <rFont val="Calibri"/>
            <family val="2"/>
            <scheme val="minor"/>
          </rPr>
          <t>Introducir un texto con el nombre o referencia de la contratación</t>
        </r>
      </text>
    </comment>
    <comment ref="B6941" authorId="2">
      <text>
        <r>
          <rPr>
            <sz val="11"/>
            <color theme="1"/>
            <rFont val="Calibri"/>
            <family val="2"/>
            <scheme val="minor"/>
          </rPr>
          <t>Introduzca un texto con la finalidad de la contratación</t>
        </r>
      </text>
    </comment>
    <comment ref="C6941" authorId="2">
      <text>
        <r>
          <rPr>
            <sz val="11"/>
            <color theme="1"/>
            <rFont val="Calibri"/>
            <family val="2"/>
            <scheme val="minor"/>
          </rPr>
          <t>Seleccionar un valor del listado</t>
        </r>
      </text>
    </comment>
    <comment ref="D6941" authorId="2">
      <text>
        <r>
          <rPr>
            <sz val="11"/>
            <color theme="1"/>
            <rFont val="Calibri"/>
            <family val="2"/>
            <scheme val="minor"/>
          </rPr>
          <t>Seleccione el tipo de procedimiento</t>
        </r>
      </text>
    </comment>
    <comment ref="E6941" authorId="2">
      <text>
        <r>
          <rPr>
            <sz val="11"/>
            <color theme="1"/>
            <rFont val="Calibri"/>
            <family val="2"/>
            <scheme val="minor"/>
          </rPr>
          <t>Seleccione un valor de la lista</t>
        </r>
      </text>
    </comment>
    <comment ref="F6941" authorId="2">
      <text>
        <r>
          <rPr>
            <sz val="11"/>
            <color theme="1"/>
            <rFont val="Calibri"/>
            <family val="2"/>
            <scheme val="minor"/>
          </rPr>
          <t>Introduzca el código SNIP</t>
        </r>
      </text>
    </comment>
    <comment ref="C6942" authorId="2">
      <text>
        <r>
          <rPr>
            <sz val="11"/>
            <color theme="1"/>
            <rFont val="Calibri"/>
            <family val="2"/>
            <scheme val="minor"/>
          </rPr>
          <t>Introduzca la fecha de inicio del proceso, en formato dd-mm-aaaa</t>
        </r>
      </text>
    </comment>
    <comment ref="F69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3" authorId="2">
      <text/>
    </comment>
    <comment ref="C6944" authorId="2">
      <text>
        <r>
          <rPr>
            <sz val="11"/>
            <color theme="1"/>
            <rFont val="Calibri"/>
            <family val="2"/>
            <scheme val="minor"/>
          </rPr>
          <t>Introduzca la fecha prevista de adjudicación, en formato dd-mm-aaaa</t>
        </r>
      </text>
    </comment>
    <comment ref="F6944" authorId="2">
      <text/>
    </comment>
    <comment ref="F6945" authorId="2">
      <text/>
    </comment>
    <comment ref="A6947" authorId="2">
      <text>
        <r>
          <rPr>
            <sz val="11"/>
            <color theme="1"/>
            <rFont val="Calibri"/>
            <family val="2"/>
            <scheme val="minor"/>
          </rPr>
          <t>Introduzca un codigo UNSPSC</t>
        </r>
      </text>
    </comment>
    <comment ref="B6947" authorId="2">
      <text>
        <r>
          <rPr>
            <sz val="11"/>
            <color theme="1"/>
            <rFont val="Calibri"/>
            <family val="2"/>
            <scheme val="minor"/>
          </rPr>
          <t>Descripción calculada automáticamente a partir de código del artículo</t>
        </r>
      </text>
    </comment>
    <comment ref="C6947" authorId="2">
      <text>
        <r>
          <rPr>
            <sz val="11"/>
            <color theme="1"/>
            <rFont val="Calibri"/>
            <family val="2"/>
            <scheme val="minor"/>
          </rPr>
          <t>Seleccione un valor de la lista</t>
        </r>
      </text>
    </comment>
    <comment ref="D6947" authorId="2">
      <text>
        <r>
          <rPr>
            <sz val="11"/>
            <color theme="1"/>
            <rFont val="Calibri"/>
            <family val="2"/>
            <scheme val="minor"/>
          </rPr>
          <t>Introduzca un número con dos decimales como máximo. Debe ser igual o mayor a la "Cantidad Real Consumida"</t>
        </r>
      </text>
    </comment>
    <comment ref="E6947" authorId="2">
      <text>
        <r>
          <rPr>
            <sz val="11"/>
            <color theme="1"/>
            <rFont val="Calibri"/>
            <family val="2"/>
            <scheme val="minor"/>
          </rPr>
          <t>Introduzca un número con dos decimales como máximo</t>
        </r>
      </text>
    </comment>
    <comment ref="F6947" authorId="2">
      <text>
        <r>
          <rPr>
            <sz val="11"/>
            <color theme="1"/>
            <rFont val="Calibri"/>
            <family val="2"/>
            <scheme val="minor"/>
          </rPr>
          <t>Monto calculado automáticamente por el sistema</t>
        </r>
      </text>
    </comment>
    <comment ref="A6969" authorId="2">
      <text>
        <r>
          <rPr>
            <sz val="11"/>
            <color theme="1"/>
            <rFont val="Calibri"/>
            <family val="2"/>
            <scheme val="minor"/>
          </rPr>
          <t>Introducir un texto con el nombre o referencia de la contratación</t>
        </r>
      </text>
    </comment>
    <comment ref="B6969" authorId="2">
      <text>
        <r>
          <rPr>
            <sz val="11"/>
            <color theme="1"/>
            <rFont val="Calibri"/>
            <family val="2"/>
            <scheme val="minor"/>
          </rPr>
          <t>Introduzca un texto con la finalidad de la contratación</t>
        </r>
      </text>
    </comment>
    <comment ref="C6969" authorId="2">
      <text>
        <r>
          <rPr>
            <sz val="11"/>
            <color theme="1"/>
            <rFont val="Calibri"/>
            <family val="2"/>
            <scheme val="minor"/>
          </rPr>
          <t>Seleccionar un valor del listado</t>
        </r>
      </text>
    </comment>
    <comment ref="D6969" authorId="2">
      <text>
        <r>
          <rPr>
            <sz val="11"/>
            <color theme="1"/>
            <rFont val="Calibri"/>
            <family val="2"/>
            <scheme val="minor"/>
          </rPr>
          <t>Seleccione el tipo de procedimiento</t>
        </r>
      </text>
    </comment>
    <comment ref="E6969" authorId="2">
      <text>
        <r>
          <rPr>
            <sz val="11"/>
            <color theme="1"/>
            <rFont val="Calibri"/>
            <family val="2"/>
            <scheme val="minor"/>
          </rPr>
          <t>Seleccione un valor de la lista</t>
        </r>
      </text>
    </comment>
    <comment ref="F6969" authorId="2">
      <text>
        <r>
          <rPr>
            <sz val="11"/>
            <color theme="1"/>
            <rFont val="Calibri"/>
            <family val="2"/>
            <scheme val="minor"/>
          </rPr>
          <t>Introduzca el código SNIP</t>
        </r>
      </text>
    </comment>
    <comment ref="C6970" authorId="2">
      <text>
        <r>
          <rPr>
            <sz val="11"/>
            <color theme="1"/>
            <rFont val="Calibri"/>
            <family val="2"/>
            <scheme val="minor"/>
          </rPr>
          <t>Introduzca la fecha de inicio del proceso, en formato dd-mm-aaaa</t>
        </r>
      </text>
    </comment>
    <comment ref="F69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1" authorId="2">
      <text/>
    </comment>
    <comment ref="C6972" authorId="2">
      <text>
        <r>
          <rPr>
            <sz val="11"/>
            <color theme="1"/>
            <rFont val="Calibri"/>
            <family val="2"/>
            <scheme val="minor"/>
          </rPr>
          <t>Introduzca la fecha prevista de adjudicación, en formato dd-mm-aaaa</t>
        </r>
      </text>
    </comment>
    <comment ref="F6972" authorId="2">
      <text/>
    </comment>
    <comment ref="F6973" authorId="2">
      <text/>
    </comment>
    <comment ref="A6975" authorId="2">
      <text>
        <r>
          <rPr>
            <sz val="11"/>
            <color theme="1"/>
            <rFont val="Calibri"/>
            <family val="2"/>
            <scheme val="minor"/>
          </rPr>
          <t>Introduzca un codigo UNSPSC</t>
        </r>
      </text>
    </comment>
    <comment ref="B6975" authorId="2">
      <text>
        <r>
          <rPr>
            <sz val="11"/>
            <color theme="1"/>
            <rFont val="Calibri"/>
            <family val="2"/>
            <scheme val="minor"/>
          </rPr>
          <t>Descripción calculada automáticamente a partir de código del artículo</t>
        </r>
      </text>
    </comment>
    <comment ref="C6975" authorId="2">
      <text>
        <r>
          <rPr>
            <sz val="11"/>
            <color theme="1"/>
            <rFont val="Calibri"/>
            <family val="2"/>
            <scheme val="minor"/>
          </rPr>
          <t>Seleccione un valor de la lista</t>
        </r>
      </text>
    </comment>
    <comment ref="D6975" authorId="2">
      <text>
        <r>
          <rPr>
            <sz val="11"/>
            <color theme="1"/>
            <rFont val="Calibri"/>
            <family val="2"/>
            <scheme val="minor"/>
          </rPr>
          <t>Introduzca un número con dos decimales como máximo. Debe ser igual o mayor a la "Cantidad Real Consumida"</t>
        </r>
      </text>
    </comment>
    <comment ref="E6975" authorId="2">
      <text>
        <r>
          <rPr>
            <sz val="11"/>
            <color theme="1"/>
            <rFont val="Calibri"/>
            <family val="2"/>
            <scheme val="minor"/>
          </rPr>
          <t>Introduzca un número con dos decimales como máximo</t>
        </r>
      </text>
    </comment>
    <comment ref="F6975" authorId="2">
      <text>
        <r>
          <rPr>
            <sz val="11"/>
            <color theme="1"/>
            <rFont val="Calibri"/>
            <family val="2"/>
            <scheme val="minor"/>
          </rPr>
          <t>Monto calculado automáticamente por el sistema</t>
        </r>
      </text>
    </comment>
    <comment ref="A6981" authorId="2">
      <text>
        <r>
          <rPr>
            <sz val="11"/>
            <color theme="1"/>
            <rFont val="Calibri"/>
            <family val="2"/>
            <scheme val="minor"/>
          </rPr>
          <t>Introducir un texto con el nombre o referencia de la contratación</t>
        </r>
      </text>
    </comment>
    <comment ref="B6981" authorId="2">
      <text>
        <r>
          <rPr>
            <sz val="11"/>
            <color theme="1"/>
            <rFont val="Calibri"/>
            <family val="2"/>
            <scheme val="minor"/>
          </rPr>
          <t>Introduzca un texto con la finalidad de la contratación</t>
        </r>
      </text>
    </comment>
    <comment ref="C6981" authorId="2">
      <text>
        <r>
          <rPr>
            <sz val="11"/>
            <color theme="1"/>
            <rFont val="Calibri"/>
            <family val="2"/>
            <scheme val="minor"/>
          </rPr>
          <t>Seleccionar un valor del listado</t>
        </r>
      </text>
    </comment>
    <comment ref="D6981" authorId="2">
      <text>
        <r>
          <rPr>
            <sz val="11"/>
            <color theme="1"/>
            <rFont val="Calibri"/>
            <family val="2"/>
            <scheme val="minor"/>
          </rPr>
          <t>Seleccione el tipo de procedimiento</t>
        </r>
      </text>
    </comment>
    <comment ref="E6981" authorId="2">
      <text>
        <r>
          <rPr>
            <sz val="11"/>
            <color theme="1"/>
            <rFont val="Calibri"/>
            <family val="2"/>
            <scheme val="minor"/>
          </rPr>
          <t>Seleccione un valor de la lista</t>
        </r>
      </text>
    </comment>
    <comment ref="F6981" authorId="2">
      <text>
        <r>
          <rPr>
            <sz val="11"/>
            <color theme="1"/>
            <rFont val="Calibri"/>
            <family val="2"/>
            <scheme val="minor"/>
          </rPr>
          <t>Introduzca el código SNIP</t>
        </r>
      </text>
    </comment>
    <comment ref="C6982" authorId="2">
      <text>
        <r>
          <rPr>
            <sz val="11"/>
            <color theme="1"/>
            <rFont val="Calibri"/>
            <family val="2"/>
            <scheme val="minor"/>
          </rPr>
          <t>Introduzca la fecha de inicio del proceso, en formato dd-mm-aaaa</t>
        </r>
      </text>
    </comment>
    <comment ref="F69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3" authorId="2">
      <text/>
    </comment>
    <comment ref="C6984" authorId="2">
      <text>
        <r>
          <rPr>
            <sz val="11"/>
            <color theme="1"/>
            <rFont val="Calibri"/>
            <family val="2"/>
            <scheme val="minor"/>
          </rPr>
          <t>Introduzca la fecha prevista de adjudicación, en formato dd-mm-aaaa</t>
        </r>
      </text>
    </comment>
    <comment ref="F6984" authorId="2">
      <text/>
    </comment>
    <comment ref="F6985" authorId="2">
      <text/>
    </comment>
    <comment ref="A6987" authorId="2">
      <text>
        <r>
          <rPr>
            <sz val="11"/>
            <color theme="1"/>
            <rFont val="Calibri"/>
            <family val="2"/>
            <scheme val="minor"/>
          </rPr>
          <t>Introduzca un codigo UNSPSC</t>
        </r>
      </text>
    </comment>
    <comment ref="B6987" authorId="2">
      <text>
        <r>
          <rPr>
            <sz val="11"/>
            <color theme="1"/>
            <rFont val="Calibri"/>
            <family val="2"/>
            <scheme val="minor"/>
          </rPr>
          <t>Descripción calculada automáticamente a partir de código del artículo</t>
        </r>
      </text>
    </comment>
    <comment ref="C6987" authorId="2">
      <text>
        <r>
          <rPr>
            <sz val="11"/>
            <color theme="1"/>
            <rFont val="Calibri"/>
            <family val="2"/>
            <scheme val="minor"/>
          </rPr>
          <t>Seleccione un valor de la lista</t>
        </r>
      </text>
    </comment>
    <comment ref="D6987" authorId="2">
      <text>
        <r>
          <rPr>
            <sz val="11"/>
            <color theme="1"/>
            <rFont val="Calibri"/>
            <family val="2"/>
            <scheme val="minor"/>
          </rPr>
          <t>Introduzca un número con dos decimales como máximo. Debe ser igual o mayor a la "Cantidad Real Consumida"</t>
        </r>
      </text>
    </comment>
    <comment ref="E6987" authorId="2">
      <text>
        <r>
          <rPr>
            <sz val="11"/>
            <color theme="1"/>
            <rFont val="Calibri"/>
            <family val="2"/>
            <scheme val="minor"/>
          </rPr>
          <t>Introduzca un número con dos decimales como máximo</t>
        </r>
      </text>
    </comment>
    <comment ref="F6987" authorId="2">
      <text>
        <r>
          <rPr>
            <sz val="11"/>
            <color theme="1"/>
            <rFont val="Calibri"/>
            <family val="2"/>
            <scheme val="minor"/>
          </rPr>
          <t>Monto calculado automáticamente por el sistema</t>
        </r>
      </text>
    </comment>
    <comment ref="A7009" authorId="2">
      <text>
        <r>
          <rPr>
            <sz val="11"/>
            <color theme="1"/>
            <rFont val="Calibri"/>
            <family val="2"/>
            <scheme val="minor"/>
          </rPr>
          <t>Introducir un texto con el nombre o referencia de la contratación</t>
        </r>
      </text>
    </comment>
    <comment ref="B7009" authorId="2">
      <text>
        <r>
          <rPr>
            <sz val="11"/>
            <color theme="1"/>
            <rFont val="Calibri"/>
            <family val="2"/>
            <scheme val="minor"/>
          </rPr>
          <t>Introduzca un texto con la finalidad de la contratación</t>
        </r>
      </text>
    </comment>
    <comment ref="C7009" authorId="2">
      <text>
        <r>
          <rPr>
            <sz val="11"/>
            <color theme="1"/>
            <rFont val="Calibri"/>
            <family val="2"/>
            <scheme val="minor"/>
          </rPr>
          <t>Seleccionar un valor del listado</t>
        </r>
      </text>
    </comment>
    <comment ref="D7009" authorId="2">
      <text>
        <r>
          <rPr>
            <sz val="11"/>
            <color theme="1"/>
            <rFont val="Calibri"/>
            <family val="2"/>
            <scheme val="minor"/>
          </rPr>
          <t>Seleccione el tipo de procedimiento</t>
        </r>
      </text>
    </comment>
    <comment ref="E7009" authorId="2">
      <text>
        <r>
          <rPr>
            <sz val="11"/>
            <color theme="1"/>
            <rFont val="Calibri"/>
            <family val="2"/>
            <scheme val="minor"/>
          </rPr>
          <t>Seleccione un valor de la lista</t>
        </r>
      </text>
    </comment>
    <comment ref="F7009" authorId="2">
      <text>
        <r>
          <rPr>
            <sz val="11"/>
            <color theme="1"/>
            <rFont val="Calibri"/>
            <family val="2"/>
            <scheme val="minor"/>
          </rPr>
          <t>Introduzca el código SNIP</t>
        </r>
      </text>
    </comment>
    <comment ref="C7010" authorId="2">
      <text>
        <r>
          <rPr>
            <sz val="11"/>
            <color theme="1"/>
            <rFont val="Calibri"/>
            <family val="2"/>
            <scheme val="minor"/>
          </rPr>
          <t>Introduzca la fecha de inicio del proceso, en formato dd-mm-aaaa</t>
        </r>
      </text>
    </comment>
    <comment ref="F70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1" authorId="2">
      <text/>
    </comment>
    <comment ref="C7012" authorId="2">
      <text>
        <r>
          <rPr>
            <sz val="11"/>
            <color theme="1"/>
            <rFont val="Calibri"/>
            <family val="2"/>
            <scheme val="minor"/>
          </rPr>
          <t>Introduzca la fecha prevista de adjudicación, en formato dd-mm-aaaa</t>
        </r>
      </text>
    </comment>
    <comment ref="F7012" authorId="2">
      <text/>
    </comment>
    <comment ref="F7013" authorId="2">
      <text/>
    </comment>
    <comment ref="A7015" authorId="2">
      <text>
        <r>
          <rPr>
            <sz val="11"/>
            <color theme="1"/>
            <rFont val="Calibri"/>
            <family val="2"/>
            <scheme val="minor"/>
          </rPr>
          <t>Introduzca un codigo UNSPSC</t>
        </r>
      </text>
    </comment>
    <comment ref="B7015" authorId="2">
      <text>
        <r>
          <rPr>
            <sz val="11"/>
            <color theme="1"/>
            <rFont val="Calibri"/>
            <family val="2"/>
            <scheme val="minor"/>
          </rPr>
          <t>Descripción calculada automáticamente a partir de código del artículo</t>
        </r>
      </text>
    </comment>
    <comment ref="C7015" authorId="2">
      <text>
        <r>
          <rPr>
            <sz val="11"/>
            <color theme="1"/>
            <rFont val="Calibri"/>
            <family val="2"/>
            <scheme val="minor"/>
          </rPr>
          <t>Seleccione un valor de la lista</t>
        </r>
      </text>
    </comment>
    <comment ref="D7015" authorId="2">
      <text>
        <r>
          <rPr>
            <sz val="11"/>
            <color theme="1"/>
            <rFont val="Calibri"/>
            <family val="2"/>
            <scheme val="minor"/>
          </rPr>
          <t>Introduzca un número con dos decimales como máximo. Debe ser igual o mayor a la "Cantidad Real Consumida"</t>
        </r>
      </text>
    </comment>
    <comment ref="E7015" authorId="2">
      <text>
        <r>
          <rPr>
            <sz val="11"/>
            <color theme="1"/>
            <rFont val="Calibri"/>
            <family val="2"/>
            <scheme val="minor"/>
          </rPr>
          <t>Introduzca un número con dos decimales como máximo</t>
        </r>
      </text>
    </comment>
    <comment ref="F7015" authorId="2">
      <text>
        <r>
          <rPr>
            <sz val="11"/>
            <color theme="1"/>
            <rFont val="Calibri"/>
            <family val="2"/>
            <scheme val="minor"/>
          </rPr>
          <t>Monto calculado automáticamente por el sistema</t>
        </r>
      </text>
    </comment>
    <comment ref="A7021" authorId="2">
      <text>
        <r>
          <rPr>
            <sz val="11"/>
            <color theme="1"/>
            <rFont val="Calibri"/>
            <family val="2"/>
            <scheme val="minor"/>
          </rPr>
          <t>Introducir un texto con el nombre o referencia de la contratación</t>
        </r>
      </text>
    </comment>
    <comment ref="B7021" authorId="2">
      <text>
        <r>
          <rPr>
            <sz val="11"/>
            <color theme="1"/>
            <rFont val="Calibri"/>
            <family val="2"/>
            <scheme val="minor"/>
          </rPr>
          <t>Introduzca un texto con la finalidad de la contratación</t>
        </r>
      </text>
    </comment>
    <comment ref="C7021" authorId="2">
      <text>
        <r>
          <rPr>
            <sz val="11"/>
            <color theme="1"/>
            <rFont val="Calibri"/>
            <family val="2"/>
            <scheme val="minor"/>
          </rPr>
          <t>Seleccionar un valor del listado</t>
        </r>
      </text>
    </comment>
    <comment ref="D7021" authorId="2">
      <text>
        <r>
          <rPr>
            <sz val="11"/>
            <color theme="1"/>
            <rFont val="Calibri"/>
            <family val="2"/>
            <scheme val="minor"/>
          </rPr>
          <t>Seleccione el tipo de procedimiento</t>
        </r>
      </text>
    </comment>
    <comment ref="E7021" authorId="2">
      <text>
        <r>
          <rPr>
            <sz val="11"/>
            <color theme="1"/>
            <rFont val="Calibri"/>
            <family val="2"/>
            <scheme val="minor"/>
          </rPr>
          <t>Seleccione un valor de la lista</t>
        </r>
      </text>
    </comment>
    <comment ref="F7021" authorId="2">
      <text>
        <r>
          <rPr>
            <sz val="11"/>
            <color theme="1"/>
            <rFont val="Calibri"/>
            <family val="2"/>
            <scheme val="minor"/>
          </rPr>
          <t>Introduzca el código SNIP</t>
        </r>
      </text>
    </comment>
    <comment ref="C7022" authorId="2">
      <text>
        <r>
          <rPr>
            <sz val="11"/>
            <color theme="1"/>
            <rFont val="Calibri"/>
            <family val="2"/>
            <scheme val="minor"/>
          </rPr>
          <t>Introduzca la fecha de inicio del proceso, en formato dd-mm-aaaa</t>
        </r>
      </text>
    </comment>
    <comment ref="F70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3" authorId="2">
      <text/>
    </comment>
    <comment ref="C7024" authorId="2">
      <text>
        <r>
          <rPr>
            <sz val="11"/>
            <color theme="1"/>
            <rFont val="Calibri"/>
            <family val="2"/>
            <scheme val="minor"/>
          </rPr>
          <t>Introduzca la fecha prevista de adjudicación, en formato dd-mm-aaaa</t>
        </r>
      </text>
    </comment>
    <comment ref="F7024" authorId="2">
      <text/>
    </comment>
    <comment ref="F7025" authorId="2">
      <text/>
    </comment>
    <comment ref="A7027" authorId="2">
      <text>
        <r>
          <rPr>
            <sz val="11"/>
            <color theme="1"/>
            <rFont val="Calibri"/>
            <family val="2"/>
            <scheme val="minor"/>
          </rPr>
          <t>Introduzca un codigo UNSPSC</t>
        </r>
      </text>
    </comment>
    <comment ref="B7027" authorId="2">
      <text>
        <r>
          <rPr>
            <sz val="11"/>
            <color theme="1"/>
            <rFont val="Calibri"/>
            <family val="2"/>
            <scheme val="minor"/>
          </rPr>
          <t>Descripción calculada automáticamente a partir de código del artículo</t>
        </r>
      </text>
    </comment>
    <comment ref="C7027" authorId="2">
      <text>
        <r>
          <rPr>
            <sz val="11"/>
            <color theme="1"/>
            <rFont val="Calibri"/>
            <family val="2"/>
            <scheme val="minor"/>
          </rPr>
          <t>Seleccione un valor de la lista</t>
        </r>
      </text>
    </comment>
    <comment ref="D7027" authorId="2">
      <text>
        <r>
          <rPr>
            <sz val="11"/>
            <color theme="1"/>
            <rFont val="Calibri"/>
            <family val="2"/>
            <scheme val="minor"/>
          </rPr>
          <t>Introduzca un número con dos decimales como máximo. Debe ser igual o mayor a la "Cantidad Real Consumida"</t>
        </r>
      </text>
    </comment>
    <comment ref="E7027" authorId="2">
      <text>
        <r>
          <rPr>
            <sz val="11"/>
            <color theme="1"/>
            <rFont val="Calibri"/>
            <family val="2"/>
            <scheme val="minor"/>
          </rPr>
          <t>Introduzca un número con dos decimales como máximo</t>
        </r>
      </text>
    </comment>
    <comment ref="F7027" authorId="2">
      <text>
        <r>
          <rPr>
            <sz val="11"/>
            <color theme="1"/>
            <rFont val="Calibri"/>
            <family val="2"/>
            <scheme val="minor"/>
          </rPr>
          <t>Monto calculado automáticamente por el sistema</t>
        </r>
      </text>
    </comment>
    <comment ref="A7032" authorId="2">
      <text>
        <r>
          <rPr>
            <sz val="11"/>
            <color theme="1"/>
            <rFont val="Calibri"/>
            <family val="2"/>
            <scheme val="minor"/>
          </rPr>
          <t>Introducir un texto con el nombre o referencia de la contratación</t>
        </r>
      </text>
    </comment>
    <comment ref="B7032" authorId="2">
      <text>
        <r>
          <rPr>
            <sz val="11"/>
            <color theme="1"/>
            <rFont val="Calibri"/>
            <family val="2"/>
            <scheme val="minor"/>
          </rPr>
          <t>Introduzca un texto con la finalidad de la contratación</t>
        </r>
      </text>
    </comment>
    <comment ref="C7032" authorId="2">
      <text>
        <r>
          <rPr>
            <sz val="11"/>
            <color theme="1"/>
            <rFont val="Calibri"/>
            <family val="2"/>
            <scheme val="minor"/>
          </rPr>
          <t>Seleccionar un valor del listado</t>
        </r>
      </text>
    </comment>
    <comment ref="D7032" authorId="2">
      <text>
        <r>
          <rPr>
            <sz val="11"/>
            <color theme="1"/>
            <rFont val="Calibri"/>
            <family val="2"/>
            <scheme val="minor"/>
          </rPr>
          <t>Seleccione el tipo de procedimiento</t>
        </r>
      </text>
    </comment>
    <comment ref="E7032" authorId="2">
      <text>
        <r>
          <rPr>
            <sz val="11"/>
            <color theme="1"/>
            <rFont val="Calibri"/>
            <family val="2"/>
            <scheme val="minor"/>
          </rPr>
          <t>Seleccione un valor de la lista</t>
        </r>
      </text>
    </comment>
    <comment ref="F7032" authorId="2">
      <text>
        <r>
          <rPr>
            <sz val="11"/>
            <color theme="1"/>
            <rFont val="Calibri"/>
            <family val="2"/>
            <scheme val="minor"/>
          </rPr>
          <t>Introduzca el código SNIP</t>
        </r>
      </text>
    </comment>
    <comment ref="C7033" authorId="2">
      <text>
        <r>
          <rPr>
            <sz val="11"/>
            <color theme="1"/>
            <rFont val="Calibri"/>
            <family val="2"/>
            <scheme val="minor"/>
          </rPr>
          <t>Introduzca la fecha de inicio del proceso, en formato dd-mm-aaaa</t>
        </r>
      </text>
    </comment>
    <comment ref="F70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4" authorId="2">
      <text/>
    </comment>
    <comment ref="C7035" authorId="2">
      <text>
        <r>
          <rPr>
            <sz val="11"/>
            <color theme="1"/>
            <rFont val="Calibri"/>
            <family val="2"/>
            <scheme val="minor"/>
          </rPr>
          <t>Introduzca la fecha prevista de adjudicación, en formato dd-mm-aaaa</t>
        </r>
      </text>
    </comment>
    <comment ref="F7035" authorId="2">
      <text/>
    </comment>
    <comment ref="F7036" authorId="2">
      <text/>
    </comment>
    <comment ref="A7038" authorId="2">
      <text>
        <r>
          <rPr>
            <sz val="11"/>
            <color theme="1"/>
            <rFont val="Calibri"/>
            <family val="2"/>
            <scheme val="minor"/>
          </rPr>
          <t>Introduzca un codigo UNSPSC</t>
        </r>
      </text>
    </comment>
    <comment ref="B7038" authorId="2">
      <text>
        <r>
          <rPr>
            <sz val="11"/>
            <color theme="1"/>
            <rFont val="Calibri"/>
            <family val="2"/>
            <scheme val="minor"/>
          </rPr>
          <t>Descripción calculada automáticamente a partir de código del artículo</t>
        </r>
      </text>
    </comment>
    <comment ref="C7038" authorId="2">
      <text>
        <r>
          <rPr>
            <sz val="11"/>
            <color theme="1"/>
            <rFont val="Calibri"/>
            <family val="2"/>
            <scheme val="minor"/>
          </rPr>
          <t>Seleccione un valor de la lista</t>
        </r>
      </text>
    </comment>
    <comment ref="D7038" authorId="2">
      <text>
        <r>
          <rPr>
            <sz val="11"/>
            <color theme="1"/>
            <rFont val="Calibri"/>
            <family val="2"/>
            <scheme val="minor"/>
          </rPr>
          <t>Introduzca un número con dos decimales como máximo. Debe ser igual o mayor a la "Cantidad Real Consumida"</t>
        </r>
      </text>
    </comment>
    <comment ref="E7038" authorId="2">
      <text>
        <r>
          <rPr>
            <sz val="11"/>
            <color theme="1"/>
            <rFont val="Calibri"/>
            <family val="2"/>
            <scheme val="minor"/>
          </rPr>
          <t>Introduzca un número con dos decimales como máximo</t>
        </r>
      </text>
    </comment>
    <comment ref="F7038" authorId="2">
      <text>
        <r>
          <rPr>
            <sz val="11"/>
            <color theme="1"/>
            <rFont val="Calibri"/>
            <family val="2"/>
            <scheme val="minor"/>
          </rPr>
          <t>Monto calculado automáticamente por el sistema</t>
        </r>
      </text>
    </comment>
    <comment ref="A7060" authorId="2">
      <text>
        <r>
          <rPr>
            <sz val="11"/>
            <color theme="1"/>
            <rFont val="Calibri"/>
            <family val="2"/>
            <scheme val="minor"/>
          </rPr>
          <t>Introducir un texto con el nombre o referencia de la contratación</t>
        </r>
      </text>
    </comment>
    <comment ref="B7060" authorId="2">
      <text>
        <r>
          <rPr>
            <sz val="11"/>
            <color theme="1"/>
            <rFont val="Calibri"/>
            <family val="2"/>
            <scheme val="minor"/>
          </rPr>
          <t>Introduzca un texto con la finalidad de la contratación</t>
        </r>
      </text>
    </comment>
    <comment ref="C7060" authorId="2">
      <text>
        <r>
          <rPr>
            <sz val="11"/>
            <color theme="1"/>
            <rFont val="Calibri"/>
            <family val="2"/>
            <scheme val="minor"/>
          </rPr>
          <t>Seleccionar un valor del listado</t>
        </r>
      </text>
    </comment>
    <comment ref="D7060" authorId="2">
      <text>
        <r>
          <rPr>
            <sz val="11"/>
            <color theme="1"/>
            <rFont val="Calibri"/>
            <family val="2"/>
            <scheme val="minor"/>
          </rPr>
          <t>Seleccione el tipo de procedimiento</t>
        </r>
      </text>
    </comment>
    <comment ref="E7060" authorId="2">
      <text>
        <r>
          <rPr>
            <sz val="11"/>
            <color theme="1"/>
            <rFont val="Calibri"/>
            <family val="2"/>
            <scheme val="minor"/>
          </rPr>
          <t>Seleccione un valor de la lista</t>
        </r>
      </text>
    </comment>
    <comment ref="F7060" authorId="2">
      <text>
        <r>
          <rPr>
            <sz val="11"/>
            <color theme="1"/>
            <rFont val="Calibri"/>
            <family val="2"/>
            <scheme val="minor"/>
          </rPr>
          <t>Introduzca el código SNIP</t>
        </r>
      </text>
    </comment>
    <comment ref="C7061" authorId="2">
      <text>
        <r>
          <rPr>
            <sz val="11"/>
            <color theme="1"/>
            <rFont val="Calibri"/>
            <family val="2"/>
            <scheme val="minor"/>
          </rPr>
          <t>Introduzca la fecha de inicio del proceso, en formato dd-mm-aaaa</t>
        </r>
      </text>
    </comment>
    <comment ref="F70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2" authorId="2">
      <text/>
    </comment>
    <comment ref="C7063" authorId="2">
      <text>
        <r>
          <rPr>
            <sz val="11"/>
            <color theme="1"/>
            <rFont val="Calibri"/>
            <family val="2"/>
            <scheme val="minor"/>
          </rPr>
          <t>Introduzca la fecha prevista de adjudicación, en formato dd-mm-aaaa</t>
        </r>
      </text>
    </comment>
    <comment ref="F7063" authorId="2">
      <text/>
    </comment>
    <comment ref="F7064" authorId="2">
      <text/>
    </comment>
    <comment ref="A7066" authorId="2">
      <text>
        <r>
          <rPr>
            <sz val="11"/>
            <color theme="1"/>
            <rFont val="Calibri"/>
            <family val="2"/>
            <scheme val="minor"/>
          </rPr>
          <t>Introduzca un codigo UNSPSC</t>
        </r>
      </text>
    </comment>
    <comment ref="B7066" authorId="2">
      <text>
        <r>
          <rPr>
            <sz val="11"/>
            <color theme="1"/>
            <rFont val="Calibri"/>
            <family val="2"/>
            <scheme val="minor"/>
          </rPr>
          <t>Descripción calculada automáticamente a partir de código del artículo</t>
        </r>
      </text>
    </comment>
    <comment ref="C7066" authorId="2">
      <text>
        <r>
          <rPr>
            <sz val="11"/>
            <color theme="1"/>
            <rFont val="Calibri"/>
            <family val="2"/>
            <scheme val="minor"/>
          </rPr>
          <t>Seleccione un valor de la lista</t>
        </r>
      </text>
    </comment>
    <comment ref="D7066" authorId="2">
      <text>
        <r>
          <rPr>
            <sz val="11"/>
            <color theme="1"/>
            <rFont val="Calibri"/>
            <family val="2"/>
            <scheme val="minor"/>
          </rPr>
          <t>Introduzca un número con dos decimales como máximo. Debe ser igual o mayor a la "Cantidad Real Consumida"</t>
        </r>
      </text>
    </comment>
    <comment ref="E7066" authorId="2">
      <text>
        <r>
          <rPr>
            <sz val="11"/>
            <color theme="1"/>
            <rFont val="Calibri"/>
            <family val="2"/>
            <scheme val="minor"/>
          </rPr>
          <t>Introduzca un número con dos decimales como máximo</t>
        </r>
      </text>
    </comment>
    <comment ref="F7066" authorId="2">
      <text>
        <r>
          <rPr>
            <sz val="11"/>
            <color theme="1"/>
            <rFont val="Calibri"/>
            <family val="2"/>
            <scheme val="minor"/>
          </rPr>
          <t>Monto calculado automáticamente por el sistema</t>
        </r>
      </text>
    </comment>
    <comment ref="A7071" authorId="2">
      <text>
        <r>
          <rPr>
            <sz val="11"/>
            <color theme="1"/>
            <rFont val="Calibri"/>
            <family val="2"/>
            <scheme val="minor"/>
          </rPr>
          <t>Introducir un texto con el nombre o referencia de la contratación</t>
        </r>
      </text>
    </comment>
    <comment ref="B7071" authorId="2">
      <text>
        <r>
          <rPr>
            <sz val="11"/>
            <color theme="1"/>
            <rFont val="Calibri"/>
            <family val="2"/>
            <scheme val="minor"/>
          </rPr>
          <t>Introduzca un texto con la finalidad de la contratación</t>
        </r>
      </text>
    </comment>
    <comment ref="C7071" authorId="2">
      <text>
        <r>
          <rPr>
            <sz val="11"/>
            <color theme="1"/>
            <rFont val="Calibri"/>
            <family val="2"/>
            <scheme val="minor"/>
          </rPr>
          <t>Seleccionar un valor del listado</t>
        </r>
      </text>
    </comment>
    <comment ref="D7071" authorId="2">
      <text>
        <r>
          <rPr>
            <sz val="11"/>
            <color theme="1"/>
            <rFont val="Calibri"/>
            <family val="2"/>
            <scheme val="minor"/>
          </rPr>
          <t>Seleccione el tipo de procedimiento</t>
        </r>
      </text>
    </comment>
    <comment ref="E7071" authorId="2">
      <text>
        <r>
          <rPr>
            <sz val="11"/>
            <color theme="1"/>
            <rFont val="Calibri"/>
            <family val="2"/>
            <scheme val="minor"/>
          </rPr>
          <t>Seleccione un valor de la lista</t>
        </r>
      </text>
    </comment>
    <comment ref="F7071" authorId="2">
      <text>
        <r>
          <rPr>
            <sz val="11"/>
            <color theme="1"/>
            <rFont val="Calibri"/>
            <family val="2"/>
            <scheme val="minor"/>
          </rPr>
          <t>Introduzca el código SNIP</t>
        </r>
      </text>
    </comment>
    <comment ref="C7072" authorId="2">
      <text>
        <r>
          <rPr>
            <sz val="11"/>
            <color theme="1"/>
            <rFont val="Calibri"/>
            <family val="2"/>
            <scheme val="minor"/>
          </rPr>
          <t>Introduzca la fecha de inicio del proceso, en formato dd-mm-aaaa</t>
        </r>
      </text>
    </comment>
    <comment ref="F70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3" authorId="2">
      <text/>
    </comment>
    <comment ref="C7074" authorId="2">
      <text>
        <r>
          <rPr>
            <sz val="11"/>
            <color theme="1"/>
            <rFont val="Calibri"/>
            <family val="2"/>
            <scheme val="minor"/>
          </rPr>
          <t>Introduzca la fecha prevista de adjudicación, en formato dd-mm-aaaa</t>
        </r>
      </text>
    </comment>
    <comment ref="F7074" authorId="2">
      <text/>
    </comment>
    <comment ref="F7075" authorId="2">
      <text/>
    </comment>
    <comment ref="A7077" authorId="2">
      <text>
        <r>
          <rPr>
            <sz val="11"/>
            <color theme="1"/>
            <rFont val="Calibri"/>
            <family val="2"/>
            <scheme val="minor"/>
          </rPr>
          <t>Introduzca un codigo UNSPSC</t>
        </r>
      </text>
    </comment>
    <comment ref="B7077" authorId="2">
      <text>
        <r>
          <rPr>
            <sz val="11"/>
            <color theme="1"/>
            <rFont val="Calibri"/>
            <family val="2"/>
            <scheme val="minor"/>
          </rPr>
          <t>Descripción calculada automáticamente a partir de código del artículo</t>
        </r>
      </text>
    </comment>
    <comment ref="C7077" authorId="2">
      <text>
        <r>
          <rPr>
            <sz val="11"/>
            <color theme="1"/>
            <rFont val="Calibri"/>
            <family val="2"/>
            <scheme val="minor"/>
          </rPr>
          <t>Seleccione un valor de la lista</t>
        </r>
      </text>
    </comment>
    <comment ref="D7077" authorId="2">
      <text>
        <r>
          <rPr>
            <sz val="11"/>
            <color theme="1"/>
            <rFont val="Calibri"/>
            <family val="2"/>
            <scheme val="minor"/>
          </rPr>
          <t>Introduzca un número con dos decimales como máximo. Debe ser igual o mayor a la "Cantidad Real Consumida"</t>
        </r>
      </text>
    </comment>
    <comment ref="E7077" authorId="2">
      <text>
        <r>
          <rPr>
            <sz val="11"/>
            <color theme="1"/>
            <rFont val="Calibri"/>
            <family val="2"/>
            <scheme val="minor"/>
          </rPr>
          <t>Introduzca un número con dos decimales como máximo</t>
        </r>
      </text>
    </comment>
    <comment ref="F7077" authorId="2">
      <text>
        <r>
          <rPr>
            <sz val="11"/>
            <color theme="1"/>
            <rFont val="Calibri"/>
            <family val="2"/>
            <scheme val="minor"/>
          </rPr>
          <t>Monto calculado automáticamente por el sistema</t>
        </r>
      </text>
    </comment>
    <comment ref="A7099" authorId="2">
      <text>
        <r>
          <rPr>
            <sz val="11"/>
            <color theme="1"/>
            <rFont val="Calibri"/>
            <family val="2"/>
            <scheme val="minor"/>
          </rPr>
          <t>Introducir un texto con el nombre o referencia de la contratación</t>
        </r>
      </text>
    </comment>
    <comment ref="B7099" authorId="2">
      <text>
        <r>
          <rPr>
            <sz val="11"/>
            <color theme="1"/>
            <rFont val="Calibri"/>
            <family val="2"/>
            <scheme val="minor"/>
          </rPr>
          <t>Introduzca un texto con la finalidad de la contratación</t>
        </r>
      </text>
    </comment>
    <comment ref="C7099" authorId="2">
      <text>
        <r>
          <rPr>
            <sz val="11"/>
            <color theme="1"/>
            <rFont val="Calibri"/>
            <family val="2"/>
            <scheme val="minor"/>
          </rPr>
          <t>Seleccionar un valor del listado</t>
        </r>
      </text>
    </comment>
    <comment ref="D7099" authorId="2">
      <text>
        <r>
          <rPr>
            <sz val="11"/>
            <color theme="1"/>
            <rFont val="Calibri"/>
            <family val="2"/>
            <scheme val="minor"/>
          </rPr>
          <t>Seleccione el tipo de procedimiento</t>
        </r>
      </text>
    </comment>
    <comment ref="E7099" authorId="2">
      <text>
        <r>
          <rPr>
            <sz val="11"/>
            <color theme="1"/>
            <rFont val="Calibri"/>
            <family val="2"/>
            <scheme val="minor"/>
          </rPr>
          <t>Seleccione un valor de la lista</t>
        </r>
      </text>
    </comment>
    <comment ref="F7099" authorId="2">
      <text>
        <r>
          <rPr>
            <sz val="11"/>
            <color theme="1"/>
            <rFont val="Calibri"/>
            <family val="2"/>
            <scheme val="minor"/>
          </rPr>
          <t>Introduzca el código SNIP</t>
        </r>
      </text>
    </comment>
    <comment ref="C7100" authorId="2">
      <text>
        <r>
          <rPr>
            <sz val="11"/>
            <color theme="1"/>
            <rFont val="Calibri"/>
            <family val="2"/>
            <scheme val="minor"/>
          </rPr>
          <t>Introduzca la fecha de inicio del proceso, en formato dd-mm-aaaa</t>
        </r>
      </text>
    </comment>
    <comment ref="F71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1" authorId="2">
      <text/>
    </comment>
    <comment ref="C7102" authorId="2">
      <text>
        <r>
          <rPr>
            <sz val="11"/>
            <color theme="1"/>
            <rFont val="Calibri"/>
            <family val="2"/>
            <scheme val="minor"/>
          </rPr>
          <t>Introduzca la fecha prevista de adjudicación, en formato dd-mm-aaaa</t>
        </r>
      </text>
    </comment>
    <comment ref="F7102" authorId="2">
      <text/>
    </comment>
    <comment ref="F7103" authorId="2">
      <text/>
    </comment>
    <comment ref="A7105" authorId="2">
      <text>
        <r>
          <rPr>
            <sz val="11"/>
            <color theme="1"/>
            <rFont val="Calibri"/>
            <family val="2"/>
            <scheme val="minor"/>
          </rPr>
          <t>Introduzca un codigo UNSPSC</t>
        </r>
      </text>
    </comment>
    <comment ref="B7105" authorId="2">
      <text>
        <r>
          <rPr>
            <sz val="11"/>
            <color theme="1"/>
            <rFont val="Calibri"/>
            <family val="2"/>
            <scheme val="minor"/>
          </rPr>
          <t>Descripción calculada automáticamente a partir de código del artículo</t>
        </r>
      </text>
    </comment>
    <comment ref="C7105" authorId="2">
      <text>
        <r>
          <rPr>
            <sz val="11"/>
            <color theme="1"/>
            <rFont val="Calibri"/>
            <family val="2"/>
            <scheme val="minor"/>
          </rPr>
          <t>Seleccione un valor de la lista</t>
        </r>
      </text>
    </comment>
    <comment ref="D7105" authorId="2">
      <text>
        <r>
          <rPr>
            <sz val="11"/>
            <color theme="1"/>
            <rFont val="Calibri"/>
            <family val="2"/>
            <scheme val="minor"/>
          </rPr>
          <t>Introduzca un número con dos decimales como máximo. Debe ser igual o mayor a la "Cantidad Real Consumida"</t>
        </r>
      </text>
    </comment>
    <comment ref="E7105" authorId="2">
      <text>
        <r>
          <rPr>
            <sz val="11"/>
            <color theme="1"/>
            <rFont val="Calibri"/>
            <family val="2"/>
            <scheme val="minor"/>
          </rPr>
          <t>Introduzca un número con dos decimales como máximo</t>
        </r>
      </text>
    </comment>
    <comment ref="F7105" authorId="2">
      <text>
        <r>
          <rPr>
            <sz val="11"/>
            <color theme="1"/>
            <rFont val="Calibri"/>
            <family val="2"/>
            <scheme val="minor"/>
          </rPr>
          <t>Monto calculado automáticamente por el sistema</t>
        </r>
      </text>
    </comment>
    <comment ref="A7110" authorId="2">
      <text>
        <r>
          <rPr>
            <sz val="11"/>
            <color theme="1"/>
            <rFont val="Calibri"/>
            <family val="2"/>
            <scheme val="minor"/>
          </rPr>
          <t>Introducir un texto con el nombre o referencia de la contratación</t>
        </r>
      </text>
    </comment>
    <comment ref="B7110" authorId="2">
      <text>
        <r>
          <rPr>
            <sz val="11"/>
            <color theme="1"/>
            <rFont val="Calibri"/>
            <family val="2"/>
            <scheme val="minor"/>
          </rPr>
          <t>Introduzca un texto con la finalidad de la contratación</t>
        </r>
      </text>
    </comment>
    <comment ref="C7110" authorId="2">
      <text>
        <r>
          <rPr>
            <sz val="11"/>
            <color theme="1"/>
            <rFont val="Calibri"/>
            <family val="2"/>
            <scheme val="minor"/>
          </rPr>
          <t>Seleccionar un valor del listado</t>
        </r>
      </text>
    </comment>
    <comment ref="D7110" authorId="2">
      <text>
        <r>
          <rPr>
            <sz val="11"/>
            <color theme="1"/>
            <rFont val="Calibri"/>
            <family val="2"/>
            <scheme val="minor"/>
          </rPr>
          <t>Seleccione el tipo de procedimiento</t>
        </r>
      </text>
    </comment>
    <comment ref="E7110" authorId="2">
      <text>
        <r>
          <rPr>
            <sz val="11"/>
            <color theme="1"/>
            <rFont val="Calibri"/>
            <family val="2"/>
            <scheme val="minor"/>
          </rPr>
          <t>Seleccione un valor de la lista</t>
        </r>
      </text>
    </comment>
    <comment ref="F7110" authorId="2">
      <text>
        <r>
          <rPr>
            <sz val="11"/>
            <color theme="1"/>
            <rFont val="Calibri"/>
            <family val="2"/>
            <scheme val="minor"/>
          </rPr>
          <t>Introduzca el código SNIP</t>
        </r>
      </text>
    </comment>
    <comment ref="C7111" authorId="2">
      <text>
        <r>
          <rPr>
            <sz val="11"/>
            <color theme="1"/>
            <rFont val="Calibri"/>
            <family val="2"/>
            <scheme val="minor"/>
          </rPr>
          <t>Introduzca la fecha de inicio del proceso, en formato dd-mm-aaaa</t>
        </r>
      </text>
    </comment>
    <comment ref="F71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2" authorId="2">
      <text/>
    </comment>
    <comment ref="C7113" authorId="2">
      <text>
        <r>
          <rPr>
            <sz val="11"/>
            <color theme="1"/>
            <rFont val="Calibri"/>
            <family val="2"/>
            <scheme val="minor"/>
          </rPr>
          <t>Introduzca la fecha prevista de adjudicación, en formato dd-mm-aaaa</t>
        </r>
      </text>
    </comment>
    <comment ref="F7113" authorId="2">
      <text/>
    </comment>
    <comment ref="F7114" authorId="2">
      <text/>
    </comment>
    <comment ref="A7116" authorId="2">
      <text>
        <r>
          <rPr>
            <sz val="11"/>
            <color theme="1"/>
            <rFont val="Calibri"/>
            <family val="2"/>
            <scheme val="minor"/>
          </rPr>
          <t>Introduzca un codigo UNSPSC</t>
        </r>
      </text>
    </comment>
    <comment ref="B7116" authorId="2">
      <text>
        <r>
          <rPr>
            <sz val="11"/>
            <color theme="1"/>
            <rFont val="Calibri"/>
            <family val="2"/>
            <scheme val="minor"/>
          </rPr>
          <t>Descripción calculada automáticamente a partir de código del artículo</t>
        </r>
      </text>
    </comment>
    <comment ref="C7116" authorId="2">
      <text>
        <r>
          <rPr>
            <sz val="11"/>
            <color theme="1"/>
            <rFont val="Calibri"/>
            <family val="2"/>
            <scheme val="minor"/>
          </rPr>
          <t>Seleccione un valor de la lista</t>
        </r>
      </text>
    </comment>
    <comment ref="D7116" authorId="2">
      <text>
        <r>
          <rPr>
            <sz val="11"/>
            <color theme="1"/>
            <rFont val="Calibri"/>
            <family val="2"/>
            <scheme val="minor"/>
          </rPr>
          <t>Introduzca un número con dos decimales como máximo. Debe ser igual o mayor a la "Cantidad Real Consumida"</t>
        </r>
      </text>
    </comment>
    <comment ref="E7116" authorId="2">
      <text>
        <r>
          <rPr>
            <sz val="11"/>
            <color theme="1"/>
            <rFont val="Calibri"/>
            <family val="2"/>
            <scheme val="minor"/>
          </rPr>
          <t>Introduzca un número con dos decimales como máximo</t>
        </r>
      </text>
    </comment>
    <comment ref="F7116" authorId="2">
      <text>
        <r>
          <rPr>
            <sz val="11"/>
            <color theme="1"/>
            <rFont val="Calibri"/>
            <family val="2"/>
            <scheme val="minor"/>
          </rPr>
          <t>Monto calculado automáticamente por el sistema</t>
        </r>
      </text>
    </comment>
    <comment ref="A7138" authorId="2">
      <text>
        <r>
          <rPr>
            <sz val="11"/>
            <color theme="1"/>
            <rFont val="Calibri"/>
            <family val="2"/>
            <scheme val="minor"/>
          </rPr>
          <t>Introducir un texto con el nombre o referencia de la contratación</t>
        </r>
      </text>
    </comment>
    <comment ref="B7138" authorId="2">
      <text>
        <r>
          <rPr>
            <sz val="11"/>
            <color theme="1"/>
            <rFont val="Calibri"/>
            <family val="2"/>
            <scheme val="minor"/>
          </rPr>
          <t>Introduzca un texto con la finalidad de la contratación</t>
        </r>
      </text>
    </comment>
    <comment ref="C7138" authorId="2">
      <text>
        <r>
          <rPr>
            <sz val="11"/>
            <color theme="1"/>
            <rFont val="Calibri"/>
            <family val="2"/>
            <scheme val="minor"/>
          </rPr>
          <t>Seleccionar un valor del listado</t>
        </r>
      </text>
    </comment>
    <comment ref="D7138" authorId="2">
      <text>
        <r>
          <rPr>
            <sz val="11"/>
            <color theme="1"/>
            <rFont val="Calibri"/>
            <family val="2"/>
            <scheme val="minor"/>
          </rPr>
          <t>Seleccione el tipo de procedimiento</t>
        </r>
      </text>
    </comment>
    <comment ref="E7138" authorId="2">
      <text>
        <r>
          <rPr>
            <sz val="11"/>
            <color theme="1"/>
            <rFont val="Calibri"/>
            <family val="2"/>
            <scheme val="minor"/>
          </rPr>
          <t>Seleccione un valor de la lista</t>
        </r>
      </text>
    </comment>
    <comment ref="F7138" authorId="2">
      <text>
        <r>
          <rPr>
            <sz val="11"/>
            <color theme="1"/>
            <rFont val="Calibri"/>
            <family val="2"/>
            <scheme val="minor"/>
          </rPr>
          <t>Introduzca el código SNIP</t>
        </r>
      </text>
    </comment>
    <comment ref="C7139" authorId="2">
      <text>
        <r>
          <rPr>
            <sz val="11"/>
            <color theme="1"/>
            <rFont val="Calibri"/>
            <family val="2"/>
            <scheme val="minor"/>
          </rPr>
          <t>Introduzca la fecha de inicio del proceso, en formato dd-mm-aaaa</t>
        </r>
      </text>
    </comment>
    <comment ref="F71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0" authorId="2">
      <text/>
    </comment>
    <comment ref="C7141" authorId="2">
      <text>
        <r>
          <rPr>
            <sz val="11"/>
            <color theme="1"/>
            <rFont val="Calibri"/>
            <family val="2"/>
            <scheme val="minor"/>
          </rPr>
          <t>Introduzca la fecha prevista de adjudicación, en formato dd-mm-aaaa</t>
        </r>
      </text>
    </comment>
    <comment ref="F7141" authorId="2">
      <text/>
    </comment>
    <comment ref="F7142" authorId="2">
      <text/>
    </comment>
    <comment ref="A7144" authorId="2">
      <text>
        <r>
          <rPr>
            <sz val="11"/>
            <color theme="1"/>
            <rFont val="Calibri"/>
            <family val="2"/>
            <scheme val="minor"/>
          </rPr>
          <t>Introduzca un codigo UNSPSC</t>
        </r>
      </text>
    </comment>
    <comment ref="B7144" authorId="2">
      <text>
        <r>
          <rPr>
            <sz val="11"/>
            <color theme="1"/>
            <rFont val="Calibri"/>
            <family val="2"/>
            <scheme val="minor"/>
          </rPr>
          <t>Descripción calculada automáticamente a partir de código del artículo</t>
        </r>
      </text>
    </comment>
    <comment ref="C7144" authorId="2">
      <text>
        <r>
          <rPr>
            <sz val="11"/>
            <color theme="1"/>
            <rFont val="Calibri"/>
            <family val="2"/>
            <scheme val="minor"/>
          </rPr>
          <t>Seleccione un valor de la lista</t>
        </r>
      </text>
    </comment>
    <comment ref="D7144" authorId="2">
      <text>
        <r>
          <rPr>
            <sz val="11"/>
            <color theme="1"/>
            <rFont val="Calibri"/>
            <family val="2"/>
            <scheme val="minor"/>
          </rPr>
          <t>Introduzca un número con dos decimales como máximo. Debe ser igual o mayor a la "Cantidad Real Consumida"</t>
        </r>
      </text>
    </comment>
    <comment ref="E7144" authorId="2">
      <text>
        <r>
          <rPr>
            <sz val="11"/>
            <color theme="1"/>
            <rFont val="Calibri"/>
            <family val="2"/>
            <scheme val="minor"/>
          </rPr>
          <t>Introduzca un número con dos decimales como máximo</t>
        </r>
      </text>
    </comment>
    <comment ref="F7144" authorId="2">
      <text>
        <r>
          <rPr>
            <sz val="11"/>
            <color theme="1"/>
            <rFont val="Calibri"/>
            <family val="2"/>
            <scheme val="minor"/>
          </rPr>
          <t>Monto calculado automáticamente por el sistema</t>
        </r>
      </text>
    </comment>
    <comment ref="A7150" authorId="2">
      <text>
        <r>
          <rPr>
            <sz val="11"/>
            <color theme="1"/>
            <rFont val="Calibri"/>
            <family val="2"/>
            <scheme val="minor"/>
          </rPr>
          <t>Introducir un texto con el nombre o referencia de la contratación</t>
        </r>
      </text>
    </comment>
    <comment ref="B7150" authorId="2">
      <text>
        <r>
          <rPr>
            <sz val="11"/>
            <color theme="1"/>
            <rFont val="Calibri"/>
            <family val="2"/>
            <scheme val="minor"/>
          </rPr>
          <t>Introduzca un texto con la finalidad de la contratación</t>
        </r>
      </text>
    </comment>
    <comment ref="C7150" authorId="2">
      <text>
        <r>
          <rPr>
            <sz val="11"/>
            <color theme="1"/>
            <rFont val="Calibri"/>
            <family val="2"/>
            <scheme val="minor"/>
          </rPr>
          <t>Seleccionar un valor del listado</t>
        </r>
      </text>
    </comment>
    <comment ref="D7150" authorId="2">
      <text>
        <r>
          <rPr>
            <sz val="11"/>
            <color theme="1"/>
            <rFont val="Calibri"/>
            <family val="2"/>
            <scheme val="minor"/>
          </rPr>
          <t>Seleccione el tipo de procedimiento</t>
        </r>
      </text>
    </comment>
    <comment ref="E7150" authorId="2">
      <text>
        <r>
          <rPr>
            <sz val="11"/>
            <color theme="1"/>
            <rFont val="Calibri"/>
            <family val="2"/>
            <scheme val="minor"/>
          </rPr>
          <t>Seleccione un valor de la lista</t>
        </r>
      </text>
    </comment>
    <comment ref="F7150" authorId="2">
      <text>
        <r>
          <rPr>
            <sz val="11"/>
            <color theme="1"/>
            <rFont val="Calibri"/>
            <family val="2"/>
            <scheme val="minor"/>
          </rPr>
          <t>Introduzca el código SNIP</t>
        </r>
      </text>
    </comment>
    <comment ref="C7151" authorId="2">
      <text>
        <r>
          <rPr>
            <sz val="11"/>
            <color theme="1"/>
            <rFont val="Calibri"/>
            <family val="2"/>
            <scheme val="minor"/>
          </rPr>
          <t>Introduzca la fecha de inicio del proceso, en formato dd-mm-aaaa</t>
        </r>
      </text>
    </comment>
    <comment ref="F71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2" authorId="2">
      <text/>
    </comment>
    <comment ref="C7153" authorId="2">
      <text>
        <r>
          <rPr>
            <sz val="11"/>
            <color theme="1"/>
            <rFont val="Calibri"/>
            <family val="2"/>
            <scheme val="minor"/>
          </rPr>
          <t>Introduzca la fecha prevista de adjudicación, en formato dd-mm-aaaa</t>
        </r>
      </text>
    </comment>
    <comment ref="F7153" authorId="2">
      <text/>
    </comment>
    <comment ref="F7154" authorId="2">
      <text/>
    </comment>
    <comment ref="A7156" authorId="2">
      <text>
        <r>
          <rPr>
            <sz val="11"/>
            <color theme="1"/>
            <rFont val="Calibri"/>
            <family val="2"/>
            <scheme val="minor"/>
          </rPr>
          <t>Introduzca un codigo UNSPSC</t>
        </r>
      </text>
    </comment>
    <comment ref="B7156" authorId="2">
      <text>
        <r>
          <rPr>
            <sz val="11"/>
            <color theme="1"/>
            <rFont val="Calibri"/>
            <family val="2"/>
            <scheme val="minor"/>
          </rPr>
          <t>Descripción calculada automáticamente a partir de código del artículo</t>
        </r>
      </text>
    </comment>
    <comment ref="C7156" authorId="2">
      <text>
        <r>
          <rPr>
            <sz val="11"/>
            <color theme="1"/>
            <rFont val="Calibri"/>
            <family val="2"/>
            <scheme val="minor"/>
          </rPr>
          <t>Seleccione un valor de la lista</t>
        </r>
      </text>
    </comment>
    <comment ref="D7156" authorId="2">
      <text>
        <r>
          <rPr>
            <sz val="11"/>
            <color theme="1"/>
            <rFont val="Calibri"/>
            <family val="2"/>
            <scheme val="minor"/>
          </rPr>
          <t>Introduzca un número con dos decimales como máximo. Debe ser igual o mayor a la "Cantidad Real Consumida"</t>
        </r>
      </text>
    </comment>
    <comment ref="E7156" authorId="2">
      <text>
        <r>
          <rPr>
            <sz val="11"/>
            <color theme="1"/>
            <rFont val="Calibri"/>
            <family val="2"/>
            <scheme val="minor"/>
          </rPr>
          <t>Introduzca un número con dos decimales como máximo</t>
        </r>
      </text>
    </comment>
    <comment ref="F7156" authorId="2">
      <text>
        <r>
          <rPr>
            <sz val="11"/>
            <color theme="1"/>
            <rFont val="Calibri"/>
            <family val="2"/>
            <scheme val="minor"/>
          </rPr>
          <t>Monto calculado automáticamente por el sistema</t>
        </r>
      </text>
    </comment>
    <comment ref="A7161" authorId="2">
      <text>
        <r>
          <rPr>
            <sz val="11"/>
            <color theme="1"/>
            <rFont val="Calibri"/>
            <family val="2"/>
            <scheme val="minor"/>
          </rPr>
          <t>Introducir un texto con el nombre o referencia de la contratación</t>
        </r>
      </text>
    </comment>
    <comment ref="B7161" authorId="2">
      <text>
        <r>
          <rPr>
            <sz val="11"/>
            <color theme="1"/>
            <rFont val="Calibri"/>
            <family val="2"/>
            <scheme val="minor"/>
          </rPr>
          <t>Introduzca un texto con la finalidad de la contratación</t>
        </r>
      </text>
    </comment>
    <comment ref="C7161" authorId="2">
      <text>
        <r>
          <rPr>
            <sz val="11"/>
            <color theme="1"/>
            <rFont val="Calibri"/>
            <family val="2"/>
            <scheme val="minor"/>
          </rPr>
          <t>Seleccionar un valor del listado</t>
        </r>
      </text>
    </comment>
    <comment ref="D7161" authorId="2">
      <text>
        <r>
          <rPr>
            <sz val="11"/>
            <color theme="1"/>
            <rFont val="Calibri"/>
            <family val="2"/>
            <scheme val="minor"/>
          </rPr>
          <t>Seleccione el tipo de procedimiento</t>
        </r>
      </text>
    </comment>
    <comment ref="E7161" authorId="2">
      <text>
        <r>
          <rPr>
            <sz val="11"/>
            <color theme="1"/>
            <rFont val="Calibri"/>
            <family val="2"/>
            <scheme val="minor"/>
          </rPr>
          <t>Seleccione un valor de la lista</t>
        </r>
      </text>
    </comment>
    <comment ref="F7161" authorId="2">
      <text>
        <r>
          <rPr>
            <sz val="11"/>
            <color theme="1"/>
            <rFont val="Calibri"/>
            <family val="2"/>
            <scheme val="minor"/>
          </rPr>
          <t>Introduzca el código SNIP</t>
        </r>
      </text>
    </comment>
    <comment ref="C7162" authorId="2">
      <text>
        <r>
          <rPr>
            <sz val="11"/>
            <color theme="1"/>
            <rFont val="Calibri"/>
            <family val="2"/>
            <scheme val="minor"/>
          </rPr>
          <t>Introduzca la fecha de inicio del proceso, en formato dd-mm-aaaa</t>
        </r>
      </text>
    </comment>
    <comment ref="F71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3" authorId="2">
      <text/>
    </comment>
    <comment ref="C7164" authorId="2">
      <text>
        <r>
          <rPr>
            <sz val="11"/>
            <color theme="1"/>
            <rFont val="Calibri"/>
            <family val="2"/>
            <scheme val="minor"/>
          </rPr>
          <t>Introduzca la fecha prevista de adjudicación, en formato dd-mm-aaaa</t>
        </r>
      </text>
    </comment>
    <comment ref="F7164" authorId="2">
      <text/>
    </comment>
    <comment ref="F7165" authorId="2">
      <text/>
    </comment>
    <comment ref="A7167" authorId="2">
      <text>
        <r>
          <rPr>
            <sz val="11"/>
            <color theme="1"/>
            <rFont val="Calibri"/>
            <family val="2"/>
            <scheme val="minor"/>
          </rPr>
          <t>Introduzca un codigo UNSPSC</t>
        </r>
      </text>
    </comment>
    <comment ref="B7167" authorId="2">
      <text>
        <r>
          <rPr>
            <sz val="11"/>
            <color theme="1"/>
            <rFont val="Calibri"/>
            <family val="2"/>
            <scheme val="minor"/>
          </rPr>
          <t>Descripción calculada automáticamente a partir de código del artículo</t>
        </r>
      </text>
    </comment>
    <comment ref="C7167" authorId="2">
      <text>
        <r>
          <rPr>
            <sz val="11"/>
            <color theme="1"/>
            <rFont val="Calibri"/>
            <family val="2"/>
            <scheme val="minor"/>
          </rPr>
          <t>Seleccione un valor de la lista</t>
        </r>
      </text>
    </comment>
    <comment ref="D7167" authorId="2">
      <text>
        <r>
          <rPr>
            <sz val="11"/>
            <color theme="1"/>
            <rFont val="Calibri"/>
            <family val="2"/>
            <scheme val="minor"/>
          </rPr>
          <t>Introduzca un número con dos decimales como máximo. Debe ser igual o mayor a la "Cantidad Real Consumida"</t>
        </r>
      </text>
    </comment>
    <comment ref="E7167" authorId="2">
      <text>
        <r>
          <rPr>
            <sz val="11"/>
            <color theme="1"/>
            <rFont val="Calibri"/>
            <family val="2"/>
            <scheme val="minor"/>
          </rPr>
          <t>Introduzca un número con dos decimales como máximo</t>
        </r>
      </text>
    </comment>
    <comment ref="F7167" authorId="2">
      <text>
        <r>
          <rPr>
            <sz val="11"/>
            <color theme="1"/>
            <rFont val="Calibri"/>
            <family val="2"/>
            <scheme val="minor"/>
          </rPr>
          <t>Monto calculado automáticamente por el sistema</t>
        </r>
      </text>
    </comment>
    <comment ref="A7189" authorId="2">
      <text>
        <r>
          <rPr>
            <sz val="11"/>
            <color theme="1"/>
            <rFont val="Calibri"/>
            <family val="2"/>
            <scheme val="minor"/>
          </rPr>
          <t>Introducir un texto con el nombre o referencia de la contratación</t>
        </r>
      </text>
    </comment>
    <comment ref="B7189" authorId="2">
      <text>
        <r>
          <rPr>
            <sz val="11"/>
            <color theme="1"/>
            <rFont val="Calibri"/>
            <family val="2"/>
            <scheme val="minor"/>
          </rPr>
          <t>Introduzca un texto con la finalidad de la contratación</t>
        </r>
      </text>
    </comment>
    <comment ref="C7189" authorId="2">
      <text>
        <r>
          <rPr>
            <sz val="11"/>
            <color theme="1"/>
            <rFont val="Calibri"/>
            <family val="2"/>
            <scheme val="minor"/>
          </rPr>
          <t>Seleccionar un valor del listado</t>
        </r>
      </text>
    </comment>
    <comment ref="D7189" authorId="2">
      <text>
        <r>
          <rPr>
            <sz val="11"/>
            <color theme="1"/>
            <rFont val="Calibri"/>
            <family val="2"/>
            <scheme val="minor"/>
          </rPr>
          <t>Seleccione el tipo de procedimiento</t>
        </r>
      </text>
    </comment>
    <comment ref="E7189" authorId="2">
      <text>
        <r>
          <rPr>
            <sz val="11"/>
            <color theme="1"/>
            <rFont val="Calibri"/>
            <family val="2"/>
            <scheme val="minor"/>
          </rPr>
          <t>Seleccione un valor de la lista</t>
        </r>
      </text>
    </comment>
    <comment ref="F7189" authorId="2">
      <text>
        <r>
          <rPr>
            <sz val="11"/>
            <color theme="1"/>
            <rFont val="Calibri"/>
            <family val="2"/>
            <scheme val="minor"/>
          </rPr>
          <t>Introduzca el código SNIP</t>
        </r>
      </text>
    </comment>
    <comment ref="C7190" authorId="2">
      <text>
        <r>
          <rPr>
            <sz val="11"/>
            <color theme="1"/>
            <rFont val="Calibri"/>
            <family val="2"/>
            <scheme val="minor"/>
          </rPr>
          <t>Introduzca la fecha de inicio del proceso, en formato dd-mm-aaaa</t>
        </r>
      </text>
    </comment>
    <comment ref="F71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1" authorId="2">
      <text/>
    </comment>
    <comment ref="C7192" authorId="2">
      <text>
        <r>
          <rPr>
            <sz val="11"/>
            <color theme="1"/>
            <rFont val="Calibri"/>
            <family val="2"/>
            <scheme val="minor"/>
          </rPr>
          <t>Introduzca la fecha prevista de adjudicación, en formato dd-mm-aaaa</t>
        </r>
      </text>
    </comment>
    <comment ref="F7192" authorId="2">
      <text/>
    </comment>
    <comment ref="F7193" authorId="2">
      <text/>
    </comment>
    <comment ref="A7195" authorId="2">
      <text>
        <r>
          <rPr>
            <sz val="11"/>
            <color theme="1"/>
            <rFont val="Calibri"/>
            <family val="2"/>
            <scheme val="minor"/>
          </rPr>
          <t>Introduzca un codigo UNSPSC</t>
        </r>
      </text>
    </comment>
    <comment ref="B7195" authorId="2">
      <text>
        <r>
          <rPr>
            <sz val="11"/>
            <color theme="1"/>
            <rFont val="Calibri"/>
            <family val="2"/>
            <scheme val="minor"/>
          </rPr>
          <t>Descripción calculada automáticamente a partir de código del artículo</t>
        </r>
      </text>
    </comment>
    <comment ref="C7195" authorId="2">
      <text>
        <r>
          <rPr>
            <sz val="11"/>
            <color theme="1"/>
            <rFont val="Calibri"/>
            <family val="2"/>
            <scheme val="minor"/>
          </rPr>
          <t>Seleccione un valor de la lista</t>
        </r>
      </text>
    </comment>
    <comment ref="D7195" authorId="2">
      <text>
        <r>
          <rPr>
            <sz val="11"/>
            <color theme="1"/>
            <rFont val="Calibri"/>
            <family val="2"/>
            <scheme val="minor"/>
          </rPr>
          <t>Introduzca un número con dos decimales como máximo. Debe ser igual o mayor a la "Cantidad Real Consumida"</t>
        </r>
      </text>
    </comment>
    <comment ref="E7195" authorId="2">
      <text>
        <r>
          <rPr>
            <sz val="11"/>
            <color theme="1"/>
            <rFont val="Calibri"/>
            <family val="2"/>
            <scheme val="minor"/>
          </rPr>
          <t>Introduzca un número con dos decimales como máximo</t>
        </r>
      </text>
    </comment>
    <comment ref="F7195" authorId="2">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<sst xmlns="http://schemas.openxmlformats.org/spreadsheetml/2006/main" count="16577" uniqueCount="544">
  <si>
    <t xml:space="preserve">PLAN ANUAL DE COMPRAS Y CONTRATACIONES 
</t>
  </si>
  <si>
    <t>AÑO 2024</t>
  </si>
  <si>
    <t>SNCC.F.069</t>
  </si>
  <si>
    <t xml:space="preserve">Capítulo </t>
  </si>
  <si>
    <t>0202</t>
  </si>
  <si>
    <t>Version: 1.0.0</t>
  </si>
  <si>
    <t>Sub Capítulo</t>
  </si>
  <si>
    <t>01</t>
  </si>
  <si>
    <t>Unidad Ejecutora</t>
  </si>
  <si>
    <t>0001</t>
  </si>
  <si>
    <t>Cantidad Procesos Registrados</t>
  </si>
  <si>
    <t xml:space="preserve">Unidad de Compra </t>
  </si>
  <si>
    <t>Ministerio de Interior y Policía</t>
  </si>
  <si>
    <t>Monto Estimado Total</t>
  </si>
  <si>
    <t>Código de la Unidad de Compra</t>
  </si>
  <si>
    <t>000141</t>
  </si>
  <si>
    <t xml:space="preserve">Año Fiscal </t>
  </si>
  <si>
    <t>2024</t>
  </si>
  <si>
    <t>Fecha Aprobación</t>
  </si>
  <si>
    <t>NOMBRE O REFERENCIA DE CONTRATACIÓN</t>
  </si>
  <si>
    <t>FINALIDAD DE LA CONTRATACIÓN</t>
  </si>
  <si>
    <t>OBJETO DE CONTRATACIÓN</t>
  </si>
  <si>
    <t>PROCEDIMIENTO DE SELECCIÓN</t>
  </si>
  <si>
    <t>DESTINADO A MIPYMES</t>
  </si>
  <si>
    <t>CÓDIGO SNIP</t>
  </si>
  <si>
    <t>COMUNIDAD SEGURA GASTABLE</t>
  </si>
  <si>
    <t>MATERIAL GASTABLE DEL PROGRAMA COMUNIDAD SEGURA</t>
  </si>
  <si>
    <t>Bienes</t>
  </si>
  <si>
    <t>Compras Menores</t>
  </si>
  <si>
    <t>No</t>
  </si>
  <si>
    <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</si>
  <si>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</si>
  <si>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</si>
  <si>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</si>
  <si>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</si>
  <si>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</si>
  <si>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</si>
  <si>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</si>
  <si>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</si>
  <si>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</si>
  <si>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</si>
  <si>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</si>
  <si>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</si>
  <si>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</si>
  <si>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</si>
  <si>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</si>
  <si>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</si>
  <si>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</si>
  <si>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Grapas</t>
  </si>
  <si>
    <t>Caja</t>
  </si>
  <si>
    <t>Papel para impresión de computadores</t>
  </si>
  <si>
    <t>Resma</t>
  </si>
  <si>
    <t>Folders</t>
  </si>
  <si>
    <t>Bolígrafos</t>
  </si>
  <si>
    <t>Carpetas</t>
  </si>
  <si>
    <t>Unidad</t>
  </si>
  <si>
    <t>Portapapeles</t>
  </si>
  <si>
    <t>Lápices de madera</t>
  </si>
  <si>
    <t>Tijeras</t>
  </si>
  <si>
    <t>Clips para papel</t>
  </si>
  <si>
    <t>Marcadores</t>
  </si>
  <si>
    <t>Máquinas sumadoras</t>
  </si>
  <si>
    <t>Clips para carpetas o bulldog</t>
  </si>
  <si>
    <t>Tapas de encuadernación</t>
  </si>
  <si>
    <t>Ganchos para uso interno</t>
  </si>
  <si>
    <t>Máquinas de perforación de papel</t>
  </si>
  <si>
    <t>Organizadores personales</t>
  </si>
  <si>
    <t>Tintas</t>
  </si>
  <si>
    <t>Cinta transparente</t>
  </si>
  <si>
    <t>Borradores de goma moldeable</t>
  </si>
  <si>
    <t>Dispensadores de goma o repuestos</t>
  </si>
  <si>
    <t>Libretas de citas o repuestos</t>
  </si>
  <si>
    <t>Reglas</t>
  </si>
  <si>
    <t>Separadores</t>
  </si>
  <si>
    <t>Paquete</t>
  </si>
  <si>
    <t>Sobres</t>
  </si>
  <si>
    <t>Encuadernación espiral</t>
  </si>
  <si>
    <t>Papel de notas autoadhesivas</t>
  </si>
  <si>
    <t>Ceras sintéticas</t>
  </si>
  <si>
    <t>Papel folio</t>
  </si>
  <si>
    <t>Etiquetas auto adhesivas</t>
  </si>
  <si>
    <t>Dispensadores de cinta para sellar cajas</t>
  </si>
  <si>
    <t>Fluido de corrección</t>
  </si>
  <si>
    <t>Contenedores o dispensadores de clips</t>
  </si>
  <si>
    <t>Almohadillas para escritorio o sus accesorios</t>
  </si>
  <si>
    <t>Cinta doble faz</t>
  </si>
  <si>
    <t>Husos para cinta adhesiva</t>
  </si>
  <si>
    <t>TOTAL COMPRA ESTIMADA</t>
  </si>
  <si>
    <t>COMUNIDAD SEGURA COMBUSTIBLE</t>
  </si>
  <si>
    <t>ADQUISICION DE COMBUSTIBLE VEHICULO PARA EL PROGRAMA DE COMUNIDAD SEGURA</t>
  </si>
  <si>
    <t>Comparacion de Precios</t>
  </si>
  <si>
    <t>Gasolina</t>
  </si>
  <si>
    <t>Galón</t>
  </si>
  <si>
    <t>Combustible diesel</t>
  </si>
  <si>
    <t>Gas licuado de petróleo</t>
  </si>
  <si>
    <t>COMUNIDAD SEGURA LLANTAS Y NEUMATICOS</t>
  </si>
  <si>
    <t>ADQUISICION DE LLANTAS Y NEUMATICAS PARA EL PROGRAMA DE COMUNIDAD SEGURA</t>
  </si>
  <si>
    <t xml:space="preserve"> Cámara de neumático de automóvil</t>
  </si>
  <si>
    <t>COMUNIDAD SEGURA LIMPIEZA</t>
  </si>
  <si>
    <t>ADQUISICION DE ARTICULOS E INSUMOS PARA LIMPIEZA, HIGIENE E INSUMOS DE COCINA</t>
  </si>
  <si>
    <t>Desinfectantes para uso doméstico</t>
  </si>
  <si>
    <t>Limpiadores de pisos</t>
  </si>
  <si>
    <t>Limpiadores de propósito general</t>
  </si>
  <si>
    <t>Escobas</t>
  </si>
  <si>
    <t>Bolsas de basura</t>
  </si>
  <si>
    <t>Toallas de papel</t>
  </si>
  <si>
    <t>Insecticidas</t>
  </si>
  <si>
    <t>Desinfectante de manos</t>
  </si>
  <si>
    <t>Productos para el lavaplatos</t>
  </si>
  <si>
    <t>Cepillos de baño</t>
  </si>
  <si>
    <t>Servilletas</t>
  </si>
  <si>
    <t>Contenedor de basura plástico</t>
  </si>
  <si>
    <t>Papel higiénico</t>
  </si>
  <si>
    <t>Traperos húmedos</t>
  </si>
  <si>
    <t>Cubetas</t>
  </si>
  <si>
    <t>Paños limpiadores desechables</t>
  </si>
  <si>
    <t>Pañitos o toallas para limpiar</t>
  </si>
  <si>
    <t>Guantes de protección</t>
  </si>
  <si>
    <t>COMUNIDAD SEGURA TONERS</t>
  </si>
  <si>
    <t>ADQUISICION DE TONERES PARA IMPRESORA PARA EL PROGRAMA COMUNIDAD SEGURA</t>
  </si>
  <si>
    <t>Tóner para impresoras o fax</t>
  </si>
  <si>
    <t>COMUNIDAD SEGURA MATERIAL IMPRESION</t>
  </si>
  <si>
    <t>ADQUISICION DE MATERIALES IMPRESOS PARA EL PROGRAMA COMUNIDAD SEGURA</t>
  </si>
  <si>
    <t>Impresión de hoja de instrucciones o manual técnico</t>
  </si>
  <si>
    <t>Certificado de logro</t>
  </si>
  <si>
    <t>Tarjetas de presentación</t>
  </si>
  <si>
    <t>Bolsillos de carpetas o accesorios</t>
  </si>
  <si>
    <t>COMUNIDAD SEGURA PUBLICIDAD</t>
  </si>
  <si>
    <t>CONTRATACION DE SERVICIOS PUBLICITARIO DEL PROGRAMA COMUNIDAD SEGURA</t>
  </si>
  <si>
    <t>Servicios</t>
  </si>
  <si>
    <t>Excepción - Contratación de publicidad a través de medios de comunicación social</t>
  </si>
  <si>
    <t>Publicidad en internet</t>
  </si>
  <si>
    <t>Mes</t>
  </si>
  <si>
    <t>Publicidad en vallas</t>
  </si>
  <si>
    <t>COMUNIDAD SEGURA AUDIOVISUALES</t>
  </si>
  <si>
    <t>ADQUISICION DE EQUIPOS AUDIOVISUALES DEL PROGRAMA COMUNIDAD SEGURA</t>
  </si>
  <si>
    <t>Cámaras de alta velocidad</t>
  </si>
  <si>
    <t>Cámaras de web</t>
  </si>
  <si>
    <t>COMUNIDAD SEGURA VEHICULOS DE MOTOR</t>
  </si>
  <si>
    <t>ADQUISICION DE VEHICULOS DE MOTOR PARA EL PROGRAMA COMUNIDAD SEGURA</t>
  </si>
  <si>
    <t>Licitacion Publica</t>
  </si>
  <si>
    <t>Vehículos todoterreno de ruedas o de tracción</t>
  </si>
  <si>
    <t>COMUNIDAD SEGURA SERVICIOS LEGALES</t>
  </si>
  <si>
    <t>CONTRATACION DE SERVICIOS NOTARIALES PARA EL PROGRAMA DE COMUNIDAD SEGURA</t>
  </si>
  <si>
    <t>Servicios legales sobre contratos</t>
  </si>
  <si>
    <t>COMUNIDAD SEGURA BECAS Y CAPACITACIONES</t>
  </si>
  <si>
    <t>CAPACITACION PROFESIONAL EMPLEADOS Y BECAS SOLIDARIAS PARA EL PROGRAMA DE COMUNIDAD SEGURA</t>
  </si>
  <si>
    <t>Educación para empleados</t>
  </si>
  <si>
    <t>Servicios de formación de recursos humanos para el sector  público</t>
  </si>
  <si>
    <t>COMUNIDAD SEGURA TEXTIL</t>
  </si>
  <si>
    <t>ADQUISICION DE MATERIAL TEXTIL CON LA IMAGEN INSTITUCIONAL DEL PROGRAMA COMUNIDAD SEGURA</t>
  </si>
  <si>
    <t>Camisas para hombre</t>
  </si>
  <si>
    <t>Camisetas (t-shirts)</t>
  </si>
  <si>
    <t>Gorras</t>
  </si>
  <si>
    <t>COMUNIDAD SEGURA CONTRATACION DE SERVICIOS</t>
  </si>
  <si>
    <t>CONTRATACION DE SERVICIOS DE EVENTOS PARA EL PROGRAMA DE COMUNIDAD SEGURA</t>
  </si>
  <si>
    <t>Gestión de eventos</t>
  </si>
  <si>
    <t>COMUNIDAD SEGURA EQUIPOS INFORMATICOS</t>
  </si>
  <si>
    <t>ADQUISICION DE EQUIPOS INFORMATICOS Y TECNOLOGIA PARA EL PROGRAMA DE COMUNIDAD SEGURA</t>
  </si>
  <si>
    <t>Proyectores multimedia</t>
  </si>
  <si>
    <t>Máquinas multifuncionales</t>
  </si>
  <si>
    <t>Software de monitoreo de red</t>
  </si>
  <si>
    <t>Computadores notebook</t>
  </si>
  <si>
    <t>COMUNIDAD SEGURA ELECTRODOMESTICOS</t>
  </si>
  <si>
    <t>ADQUISICION DE ELECTRODOMESTICOS PARA EL PROGRAMA DE COMUNIDAD SEGURA</t>
  </si>
  <si>
    <t>Televisores</t>
  </si>
  <si>
    <t>COMUNIDAD SEGURA ALIMENTOS</t>
  </si>
  <si>
    <t>ADQUISICION DE INSUMOS COMESTIBLES PARA EL PROGRAMA DE COMUNIDAD SEGURA</t>
  </si>
  <si>
    <t>Café</t>
  </si>
  <si>
    <t>Chocolate o sustituto de chocolate</t>
  </si>
  <si>
    <t>Agua</t>
  </si>
  <si>
    <t>Productos de leche o mantequilla frescos</t>
  </si>
  <si>
    <t>Bebidas para infantes</t>
  </si>
  <si>
    <t>Azucares naturales o productos endulzantes</t>
  </si>
  <si>
    <t>Bebidas de té</t>
  </si>
  <si>
    <t>Galletas sencillas de sal</t>
  </si>
  <si>
    <t>Galletas de soda</t>
  </si>
  <si>
    <t>Té instantáneo</t>
  </si>
  <si>
    <t>Cremas no lácteas</t>
  </si>
  <si>
    <t>COMUNIDAD SEGURA MANTENIMIENTO Y REPARACION</t>
  </si>
  <si>
    <t>CONTRATACION DE SERVICIOS PARA EL MANTENIMIENTO Y REPARACION DEL PROGRAMA DE COMUNIDAD SEGURA</t>
  </si>
  <si>
    <t>Servicios de exterminación o fumigación</t>
  </si>
  <si>
    <t>Servicios de arbolistas</t>
  </si>
  <si>
    <t>Pinturas de agua</t>
  </si>
  <si>
    <t>Pinturas de látex</t>
  </si>
  <si>
    <t>Servicios de limpieza de edificios</t>
  </si>
  <si>
    <t>COMUNIDAD SEGURA FORTALECIMIENTO GESTION</t>
  </si>
  <si>
    <t>FORTALECIMIENTO GESION DEL PROGRAMA DE COMUNIDAD SEGURA</t>
  </si>
  <si>
    <t>Compras por debajo del Umbral</t>
  </si>
  <si>
    <t>Servicios de cáterin en la obra o lugar de trabajo</t>
  </si>
  <si>
    <t>Arreglo de flores cortadas</t>
  </si>
  <si>
    <t>COMUNIDAD SEGURA SERVICIO AYUDA HUMANITARIA</t>
  </si>
  <si>
    <t>SERVICIO DE AYUDA HUMANITARIAS PARA EL PROGRAMA DE COMUNIDAD SEGURA</t>
  </si>
  <si>
    <t>Cofinanciación</t>
  </si>
  <si>
    <t>Etiquetas de papel</t>
  </si>
  <si>
    <t>Alcoholes o sus sustitutos</t>
  </si>
  <si>
    <t>Máscaras quirúrgicas o de aislamiento para personal médico</t>
  </si>
  <si>
    <t>Tazas o vasos o tapas desechables para uso doméstico</t>
  </si>
  <si>
    <t>Platos desechables para uso doméstico</t>
  </si>
  <si>
    <t>Desodorantes</t>
  </si>
  <si>
    <t>COMUNIDAD SEGURA MOBILIARIOS</t>
  </si>
  <si>
    <t>ADQUISICION DE MOBILIARIOS DE OFICINA DEL PROGRAMA DE COMUNIDAD SEGURA</t>
  </si>
  <si>
    <t>Casilleros (“lockers”)</t>
  </si>
  <si>
    <t>Filtros de aceite</t>
  </si>
  <si>
    <t>Filtros de combustible</t>
  </si>
  <si>
    <t>Lubricantes de propósito general</t>
  </si>
  <si>
    <t>Aceite motor</t>
  </si>
  <si>
    <t>Aceite hidráulico</t>
  </si>
  <si>
    <t>Grasa</t>
  </si>
  <si>
    <t>Uniformes corporativos</t>
  </si>
  <si>
    <t>Ventiladores</t>
  </si>
  <si>
    <t>Estufas de calefacción</t>
  </si>
  <si>
    <t>Circuladores de aire</t>
  </si>
  <si>
    <t>Servicios de ingeniería eléctrica</t>
  </si>
  <si>
    <t>ALQUILER DE VEHICULOS</t>
  </si>
  <si>
    <t>CONTRATACION DE SERVICIO DE ALQUILER DE TRANSPORTE</t>
  </si>
  <si>
    <t>Alquiler de vehículos</t>
  </si>
  <si>
    <t>Servicios de buses contratados</t>
  </si>
  <si>
    <t>Servicios transporte de carga por carretera (en camión) a nivel regional y nacional</t>
  </si>
  <si>
    <t>GESTION DE EVENTO</t>
  </si>
  <si>
    <t>CONTRATACION DE SERVICIOS DE GESTION DE EVENTOS Y ALQUILERES VARIOS</t>
  </si>
  <si>
    <t>ALMUERZO</t>
  </si>
  <si>
    <t>CONTRATACION DE SERVICIOS DE ALMUERZO</t>
  </si>
  <si>
    <t>Servicios de comidas a domicilio</t>
  </si>
  <si>
    <t>LICITACION DE MATERIAL GASTABLE</t>
  </si>
  <si>
    <t>ADQUISICION DE MATERIAL GASTABLE</t>
  </si>
  <si>
    <t>Estilógrafos</t>
  </si>
  <si>
    <t>Resaltadores</t>
  </si>
  <si>
    <t>Borradores</t>
  </si>
  <si>
    <t>Pegamentos</t>
  </si>
  <si>
    <t>Almohadilla para sellos de estampación de caucho</t>
  </si>
  <si>
    <t>Alfileres o taches</t>
  </si>
  <si>
    <t>Contadores de copias</t>
  </si>
  <si>
    <t>Cauchos</t>
  </si>
  <si>
    <t>Removedores de grapas (saca ganchos)</t>
  </si>
  <si>
    <t>Grapadoras</t>
  </si>
  <si>
    <t>Grapa de ángulo</t>
  </si>
  <si>
    <t>Tajalápices manuales</t>
  </si>
  <si>
    <t>Sujetadores de esferos o lápices</t>
  </si>
  <si>
    <t>Cuchillos de diversas aplicaciones</t>
  </si>
  <si>
    <t>Almohadillas (pads) para mouse</t>
  </si>
  <si>
    <t>Máquinas perforadoras o para unir papel</t>
  </si>
  <si>
    <t>Protectores de hojas</t>
  </si>
  <si>
    <t>Formatos o libros de inventarios</t>
  </si>
  <si>
    <t>Libretas de direcciones o repuestos</t>
  </si>
  <si>
    <t>EQUIPOS MILITARES</t>
  </si>
  <si>
    <t>ADQUISICION DE EQUIPOS MILITARES</t>
  </si>
  <si>
    <t>Subasta Inversa</t>
  </si>
  <si>
    <t>Estuches para revólveres</t>
  </si>
  <si>
    <t>Estuches para equipos</t>
  </si>
  <si>
    <t>Cadenas de llaves o estuches de llaves</t>
  </si>
  <si>
    <t>Esposas</t>
  </si>
  <si>
    <t>Cinturones o tirantes</t>
  </si>
  <si>
    <t>Aerosol de pimienta</t>
  </si>
  <si>
    <t>Pistolas</t>
  </si>
  <si>
    <t>Soportes para correas</t>
  </si>
  <si>
    <t>PUBLICIDAD</t>
  </si>
  <si>
    <t>CONTRATACION DE SERVICIOS PUBLICITARIOS</t>
  </si>
  <si>
    <t>Publicidad en radio</t>
  </si>
  <si>
    <t>Publicidad en televisión</t>
  </si>
  <si>
    <t>VENTANAS Y PUERTAS</t>
  </si>
  <si>
    <t>ADQUISICION DE VENTANAS Y PUERTAS DE CRISTAL</t>
  </si>
  <si>
    <t>Sí</t>
  </si>
  <si>
    <t>Puertas de cristal</t>
  </si>
  <si>
    <t>Ventanas de apertura horizontal</t>
  </si>
  <si>
    <t>CRISTAL TEMPLADO</t>
  </si>
  <si>
    <t>ADQUISICION DE CRISTAL TEMPLADO</t>
  </si>
  <si>
    <t>Vidrio templado</t>
  </si>
  <si>
    <t>ALQUILER DE VEHICULO</t>
  </si>
  <si>
    <t>CONTRATACION DE ALQUILER DE VEHICULO</t>
  </si>
  <si>
    <t>SERVICIOS DIVERSOS</t>
  </si>
  <si>
    <t>CONTRATACION DE SERVICIOS DIVERSOS</t>
  </si>
  <si>
    <t>Servicio de limpieza de pisos</t>
  </si>
  <si>
    <t>Servicio de mantenimiento de edificios</t>
  </si>
  <si>
    <t>ALQUILER DE BUSES</t>
  </si>
  <si>
    <t>CONTRATACION DE SERVICIOS DE ALQUILERES DE BUSES</t>
  </si>
  <si>
    <t>AGENDAS</t>
  </si>
  <si>
    <t>ADQUISICION DE AGENDAS INSTITUCIONALES</t>
  </si>
  <si>
    <t>SILLAS Y MESAS</t>
  </si>
  <si>
    <t>ADQUISICION DE SILLAS PLASTICAS Y MESAS RECTANGULARES</t>
  </si>
  <si>
    <t>Sillas para grupos de trabajo</t>
  </si>
  <si>
    <t>Mesas</t>
  </si>
  <si>
    <t>MOBILIARIOS</t>
  </si>
  <si>
    <t>ADQUISICION DE MOBILIARIOS</t>
  </si>
  <si>
    <t>Escritorios</t>
  </si>
  <si>
    <t>Gabinetes de archivo o accesorios</t>
  </si>
  <si>
    <t>Sillas para ejecutivos</t>
  </si>
  <si>
    <t>Sillas para visitantes</t>
  </si>
  <si>
    <t>BOTIQUINES</t>
  </si>
  <si>
    <t>ADQUISICION DE BOTIQUINES DE PRIMEROS AUXILIO</t>
  </si>
  <si>
    <t>Estuches o bolsas o accesorios de primeros auxilios para servicios médicos de emergencia</t>
  </si>
  <si>
    <t>ALMUERZO Y REFRIGERIO</t>
  </si>
  <si>
    <t>CONTRATACION DE SERVICIO DE ALMUERZOS Y REFRIGERIO</t>
  </si>
  <si>
    <t>Servicios de cáterin</t>
  </si>
  <si>
    <t>CONTRATACION DE SERVICIOS DE GESTION DE EVENTOS</t>
  </si>
  <si>
    <t>GESTION DE EVENTO PARA ALQUILERES</t>
  </si>
  <si>
    <t>CONTRATACION DE SERVICIOS DE GESTION DE EVENTOS PARA ALQUILERES VARIOS</t>
  </si>
  <si>
    <t>INSTALACION DE PLAFONES</t>
  </si>
  <si>
    <t>CONTRATACION DE SERVICIOS PARA INSTALACION DE PLAFONES</t>
  </si>
  <si>
    <t>Instalación o reparación de techos</t>
  </si>
  <si>
    <t>DESAYUNO Y ALMUERZO</t>
  </si>
  <si>
    <t>CONTRATACION DE SERVICIOS DESAYUNO Y ALMUERZO</t>
  </si>
  <si>
    <t>FOLDERS</t>
  </si>
  <si>
    <t>ADQUISICION DE FOLDERS CON DIVISION</t>
  </si>
  <si>
    <t>CORTINAS</t>
  </si>
  <si>
    <t>ADQUISICION DE CORTINAS</t>
  </si>
  <si>
    <t>Cortinas</t>
  </si>
  <si>
    <t>DESECHABLES</t>
  </si>
  <si>
    <t>ADQUISICION DE VARIOS DESECHABLES</t>
  </si>
  <si>
    <t>Cubiertos desechables para uso doméstico</t>
  </si>
  <si>
    <t>EXHIBIDORES</t>
  </si>
  <si>
    <t>ADQUISICION DE EXHIBIDORES</t>
  </si>
  <si>
    <t>Atriles autónomos</t>
  </si>
  <si>
    <t>CONSULTORIA</t>
  </si>
  <si>
    <t>CONTRATACION DE SERVICIOS DE CONSULTORIA</t>
  </si>
  <si>
    <t>Servicios de formación profesional en comunicaciones</t>
  </si>
  <si>
    <t>SERVICIOS DE EMBALAJE</t>
  </si>
  <si>
    <t>CONTRATACION DE SERVICIOS DE EMBALAJE</t>
  </si>
  <si>
    <t>Servicios de empacado a mano</t>
  </si>
  <si>
    <t>CAFETERIA</t>
  </si>
  <si>
    <t>ADQUISICION DE CAFETERIA</t>
  </si>
  <si>
    <t>Cafeteras para uso doméstico</t>
  </si>
  <si>
    <t>PAPEL HIGIENICO, TOALLA Y SERVILLETA</t>
  </si>
  <si>
    <t>ADQUISICION DE PAPEL HIGIENICO, TOALLA Y SERVILLETA</t>
  </si>
  <si>
    <t>Servilletas de papel</t>
  </si>
  <si>
    <t>MATERIAL DE LIMPIEZA</t>
  </si>
  <si>
    <t>ADQUISICION DE MATERAILES DE LIMPIEZA Y OTROS</t>
  </si>
  <si>
    <t>Blanqueadores</t>
  </si>
  <si>
    <t>Contenedores de desperdicios o revestimientos rígidos</t>
  </si>
  <si>
    <t>Bolsas plásticas</t>
  </si>
  <si>
    <t>Recogedor de basura</t>
  </si>
  <si>
    <t>Limpiadores de vidrio o ventanas</t>
  </si>
  <si>
    <t>Refrescador de aire</t>
  </si>
  <si>
    <t>Baldes para limpieza</t>
  </si>
  <si>
    <t>Escurridor de trapero</t>
  </si>
  <si>
    <t>ROTULOS</t>
  </si>
  <si>
    <t>ADQUISICION DE ROTULOS</t>
  </si>
  <si>
    <t>Letreros</t>
  </si>
  <si>
    <t>BANNERS</t>
  </si>
  <si>
    <t>ADQUISICION DE BANNERS</t>
  </si>
  <si>
    <t>Impresión promocional o publicitaria</t>
  </si>
  <si>
    <t>GALLETAS DANESAS</t>
  </si>
  <si>
    <t>ADQUISICION DE GALLETAS DANESAS</t>
  </si>
  <si>
    <t>Galletas de dulce</t>
  </si>
  <si>
    <t>STAND Y TELEVISORES</t>
  </si>
  <si>
    <t>ADQUISICION DE STAND DE TV Y TELEVISOR</t>
  </si>
  <si>
    <t>Soportes para televisiones</t>
  </si>
  <si>
    <t>BOCINA CON MICROFONOS</t>
  </si>
  <si>
    <t>ADQUISICION DE BOCINAS CON MICROFONOS</t>
  </si>
  <si>
    <t>Sistemas de estéreo portátiles</t>
  </si>
  <si>
    <t>TOALLA DE BAÑO</t>
  </si>
  <si>
    <t>ADQUISICION DE TOALLA DE BAÑO</t>
  </si>
  <si>
    <t>Toallas de baño</t>
  </si>
  <si>
    <t>GASOIL OPTIMO</t>
  </si>
  <si>
    <t>ADQUISICION DE GASOIL</t>
  </si>
  <si>
    <t>MATERIALES PARA EL SERVIDOR</t>
  </si>
  <si>
    <t>ADQUISICION DE MATERIALES PARA LOS SERVIDORES</t>
  </si>
  <si>
    <t>Cable de fibra óptica</t>
  </si>
  <si>
    <t>Convertidores de transceptores y medios</t>
  </si>
  <si>
    <t>Cable de redes</t>
  </si>
  <si>
    <t>Aspiradoras</t>
  </si>
  <si>
    <t>Unidades de cintas</t>
  </si>
  <si>
    <t>Tarjetas de interface de red</t>
  </si>
  <si>
    <t>Fuentes ininterrumpibles de potencia</t>
  </si>
  <si>
    <t>Clips para cables</t>
  </si>
  <si>
    <t>Enfriadores de unidades de procesamiento central</t>
  </si>
  <si>
    <t>Adaptadores para hardware o telefonía</t>
  </si>
  <si>
    <t>Series de disco duro</t>
  </si>
  <si>
    <t>CARPETAS Y FOLDERS</t>
  </si>
  <si>
    <t>ADQUISICION DE CARPETAS Y DIFERENTES FOLDERS</t>
  </si>
  <si>
    <t>Accesorios de carpetas de folders</t>
  </si>
  <si>
    <t>Folders de archivo expandibles</t>
  </si>
  <si>
    <t>Cubiertas para informes</t>
  </si>
  <si>
    <t>SERVICIOS VARIOS</t>
  </si>
  <si>
    <t>CONTRATACION DE SERVICIOS VARIOS</t>
  </si>
  <si>
    <t>Instalación o reparación de paredes</t>
  </si>
  <si>
    <t>Impermeabilización</t>
  </si>
  <si>
    <t>SERVICIOS DE PLOMERIA Y ELECTRICO</t>
  </si>
  <si>
    <t>CONTRATACION DE SERVICIOS DE PLOMERIA Y ELECTRICOS</t>
  </si>
  <si>
    <t>Mantenimiento o reparación del sistema de plomería</t>
  </si>
  <si>
    <t>Instalación o servicio de sistemas de energía eléctrica</t>
  </si>
  <si>
    <t>GORRAS</t>
  </si>
  <si>
    <t>ADQUISICION DE GORRAS</t>
  </si>
  <si>
    <t>T-SHIRT</t>
  </si>
  <si>
    <t>ADQUISICION DE T-SHIRT</t>
  </si>
  <si>
    <t>GORRAS PARA ACTIVIDADES</t>
  </si>
  <si>
    <t>ADQUISICION DE GORRAS PARA ACTIVIDADES</t>
  </si>
  <si>
    <t>T-SHIRT PARA ACTIVIDADES</t>
  </si>
  <si>
    <t>ADQUISICION DE T-SHIRT PARA ACTIVIDADES</t>
  </si>
  <si>
    <t>BOLSOS REUSABLES</t>
  </si>
  <si>
    <t>ADQUISICION DE BOLSOS REUSABLES</t>
  </si>
  <si>
    <t>Bolsas para compras</t>
  </si>
  <si>
    <t>CONTRATACION DE SERVICIOS DE PUBLICIDAD EN LOS MEDIOS</t>
  </si>
  <si>
    <t>CASCOS PROTECTORES</t>
  </si>
  <si>
    <t>ADQUISICION DE CASCOS PROTECTORES</t>
  </si>
  <si>
    <t>Cascos</t>
  </si>
  <si>
    <t>CHALECOS</t>
  </si>
  <si>
    <t>ADQUISICION DE CHALECOS</t>
  </si>
  <si>
    <t>Chalecos de seguridad</t>
  </si>
  <si>
    <t>CASCOS PROTECTORES PARA ACTIVDADES</t>
  </si>
  <si>
    <t>ADQUISICION DE CASCOS PROTECTORES PARA ACTIVIDADES</t>
  </si>
  <si>
    <t>PAPEL HIGIENICO Y VASOS</t>
  </si>
  <si>
    <t>ADQUISICION DE PAPEL HIGIENICO Y VASOS</t>
  </si>
  <si>
    <t>PINTURAS</t>
  </si>
  <si>
    <t>ADQUISICION DE PINTURAS</t>
  </si>
  <si>
    <t>Pinturas de aceite</t>
  </si>
  <si>
    <t>CONO SEÑALIZADOR</t>
  </si>
  <si>
    <t>ADQUSICION DE CONOS SEÑALIZADORES</t>
  </si>
  <si>
    <t>Conos o delineadores de tráfico</t>
  </si>
  <si>
    <t>FUMIGACION</t>
  </si>
  <si>
    <t>CONTRATACION DE SERVICIO FUMIGACION</t>
  </si>
  <si>
    <t>ADQUISICION DE MATERIAL DE LIMPIEZAS</t>
  </si>
  <si>
    <t>Floculantes</t>
  </si>
  <si>
    <t>Alguicidas</t>
  </si>
  <si>
    <t>Filtros (coladores) de líquido</t>
  </si>
  <si>
    <t>Trolleys de estante</t>
  </si>
  <si>
    <t>Vara de extensión</t>
  </si>
  <si>
    <t>Kits de muestreo y pruebas del agua</t>
  </si>
  <si>
    <t>FILTRO DE COMBUSTIBLE</t>
  </si>
  <si>
    <t>ADQUISICION DE FILTRO DE COMBUSTIBLE</t>
  </si>
  <si>
    <t>INSUMOS PARA COCINA</t>
  </si>
  <si>
    <t>ADQUISICION DE INSUMOS PARA COCINA</t>
  </si>
  <si>
    <t>Termoplástico</t>
  </si>
  <si>
    <t>Teteras o cafeteras para servicio de comidas</t>
  </si>
  <si>
    <t>Cucharas para uso doméstico</t>
  </si>
  <si>
    <t>Manteles</t>
  </si>
  <si>
    <t>Tazones (“mugs”) para uso doméstico</t>
  </si>
  <si>
    <t>MATERIAL GASTABLE</t>
  </si>
  <si>
    <t>Papel para impresora o fotocopiadora</t>
  </si>
  <si>
    <t>Sobres estándar</t>
  </si>
  <si>
    <t>Libros comerciales para múltiples usos</t>
  </si>
  <si>
    <t>Papel libretas o libros de mensajes telefónicos</t>
  </si>
  <si>
    <t>Blocs o cuadernos de papel</t>
  </si>
  <si>
    <t>Máquinas trituradoras de papel o accesorios</t>
  </si>
  <si>
    <t>FILTROS Y TANQUE</t>
  </si>
  <si>
    <t>ADQUISICION DE FILTRO, TANQUES Y BOMBAS</t>
  </si>
  <si>
    <t>Filtros de agua</t>
  </si>
  <si>
    <t>Filtros de aire</t>
  </si>
  <si>
    <t>Bombas de mano</t>
  </si>
  <si>
    <t>EXPRIMIDOR, CARROS DE LIMPIEZA Y ZAFACONES</t>
  </si>
  <si>
    <t>ADQUISICION DE EXPRIMIDOR DE SUAPE, CARRO DE LIMPIEZA Y ZAFACONES</t>
  </si>
  <si>
    <t>PINTURAS Y THINER</t>
  </si>
  <si>
    <t>ADQUISICION DE PINTURAS Y THINER</t>
  </si>
  <si>
    <t>Pinturas acrílicas</t>
  </si>
  <si>
    <t>LAMPARAS</t>
  </si>
  <si>
    <t>ADQUISICION DE LAMPARAS LED</t>
  </si>
  <si>
    <t>Lámparas fluorescentes</t>
  </si>
  <si>
    <t>CONJUNTO Y BOTAS IMPERMEABLES</t>
  </si>
  <si>
    <t>ADQUISICION DE CONJUNTO Y BOTAS IMPERMEABLES</t>
  </si>
  <si>
    <t>Ropa impermeable protectora o ropa para ambiente húmedo</t>
  </si>
  <si>
    <t>Botas de seguridad</t>
  </si>
  <si>
    <t>CURSOS</t>
  </si>
  <si>
    <t>CONTRATACION DE SERVICIOS DE CAPACITACION Y CURSOS</t>
  </si>
  <si>
    <t>Capacitación administrativa</t>
  </si>
  <si>
    <t>RESMA DE PAPEL</t>
  </si>
  <si>
    <t>ADQUISICION DE PAPEL BOND</t>
  </si>
  <si>
    <t>MACANAS</t>
  </si>
  <si>
    <t>ADQUISICION DE MACANAS</t>
  </si>
  <si>
    <t>Equipo para protección</t>
  </si>
  <si>
    <t>DRONES</t>
  </si>
  <si>
    <t>ADQUISICION DE DRONES</t>
  </si>
  <si>
    <t>Cámaras aéreas</t>
  </si>
  <si>
    <t>KIT ALIMENTICIO</t>
  </si>
  <si>
    <t>ADQUISICION DE KIT ALIMENTICIO</t>
  </si>
  <si>
    <t>Grano de cereal</t>
  </si>
  <si>
    <t>Aceites vegetales o  de planta comestibles</t>
  </si>
  <si>
    <t>Carne seca o procesada</t>
  </si>
  <si>
    <t>Salsas para cocinar</t>
  </si>
  <si>
    <t>Pescado almacenado en repisa</t>
  </si>
  <si>
    <t>Pasta o fideos de repisa</t>
  </si>
  <si>
    <t>Judías secas</t>
  </si>
  <si>
    <t>Harina vegetal</t>
  </si>
  <si>
    <t>CAMARAS</t>
  </si>
  <si>
    <t>ADQUISICION DE CAMARAS</t>
  </si>
  <si>
    <t>Cámaras digitales</t>
  </si>
  <si>
    <t>Cámaras de seguridad</t>
  </si>
  <si>
    <t>Cámaras grabadoras o video cámaras digitales</t>
  </si>
  <si>
    <t>RASTREADOR Y GRABADORA</t>
  </si>
  <si>
    <t>ADQUISICION DE RASTREADOR Y GRABADORA</t>
  </si>
  <si>
    <t>Receptores de sistemas de posicionamiento global</t>
  </si>
  <si>
    <t>Grabadoras de video o audio de vigilancia</t>
  </si>
  <si>
    <t>MATERIALES DE SERVICIO GENERALES</t>
  </si>
  <si>
    <t>ADQUISICION DE MATERIALES PARA SERVICIOS GENERALES</t>
  </si>
  <si>
    <t>Aluminio en placa labrada</t>
  </si>
  <si>
    <t>Plafones</t>
  </si>
  <si>
    <t>Masillas</t>
  </si>
  <si>
    <t>Cinta de malla metálica</t>
  </si>
  <si>
    <t>Tornillos roscadores</t>
  </si>
  <si>
    <t>Espátulas</t>
  </si>
  <si>
    <t>KIT ESCOLARES</t>
  </si>
  <si>
    <t>ADQUISICION DE KITS ESCOLARES</t>
  </si>
  <si>
    <t>Morrales</t>
  </si>
  <si>
    <t>Contenedores para almacenar alimentos para uso doméstico</t>
  </si>
  <si>
    <t>Compases</t>
  </si>
  <si>
    <t>Kits o sets de dibujo</t>
  </si>
  <si>
    <t>Lápices de colores</t>
  </si>
  <si>
    <t>EMBALAJE DE ALIMENTO</t>
  </si>
  <si>
    <t>CONTRATACION DE SERVICIO DE EMBALAJE DE KITS ALIMENTICIO</t>
  </si>
  <si>
    <t>REFRIGERIO</t>
  </si>
  <si>
    <t>ADQUISICION DE REFRIGERIOS EN LAS ACTIVIDADES</t>
  </si>
  <si>
    <t>ADQUISICION DE ALMUERZO</t>
  </si>
  <si>
    <t>KITS ESCOLARES</t>
  </si>
  <si>
    <t>CORTINA TIPO ZEBRA</t>
  </si>
  <si>
    <t>ADQUISICION DE CORTINAS TIPO ZEBRA</t>
  </si>
  <si>
    <t>AGENCIA DE VIAJE</t>
  </si>
  <si>
    <t>CONTRATACION DE SERVICIOS DE AGENCIA DE VIAJES</t>
  </si>
  <si>
    <t>Agencias de viajes</t>
  </si>
  <si>
    <t>INSTALACIONES COMERCIAL</t>
  </si>
  <si>
    <t>CONTRATACIONES DE INSTALACION COMERCIAL</t>
  </si>
  <si>
    <t>Arrendamiento de instalaciones comerciales o industriales</t>
  </si>
  <si>
    <t>EQUIPOS DEPORTIVOS</t>
  </si>
  <si>
    <t>ADQUISICION DE EQUIPOS DEPORTIVOS</t>
  </si>
  <si>
    <t>Balones de voleibol</t>
  </si>
  <si>
    <t>Pelotas de básquetbol</t>
  </si>
  <si>
    <t>Pelotas de beisbol</t>
  </si>
  <si>
    <t>Balones de softbol</t>
  </si>
  <si>
    <t>Balones de futbol</t>
  </si>
  <si>
    <t>Porterías</t>
  </si>
  <si>
    <t>Bolas de ping pong</t>
  </si>
  <si>
    <t>Tableros de basquetbol</t>
  </si>
  <si>
    <t>Mallas o redes para deportes</t>
  </si>
  <si>
    <t>Bates de beisbol</t>
  </si>
  <si>
    <t>Bates de softbol</t>
  </si>
  <si>
    <t>EQUIPOS TECNOLOGICO</t>
  </si>
  <si>
    <t>ADQUISICION DE COMPUTADORA E IMPRESORAS</t>
  </si>
  <si>
    <t>Computadores de escritorio</t>
  </si>
  <si>
    <t>Impresoras de múltiples funciones</t>
  </si>
  <si>
    <t>SERVICIO DE TRANSPORTE DE CARGA</t>
  </si>
  <si>
    <t>CONTRATACION DE SERVICIO DE TRANSPORTE DE CARGA</t>
  </si>
  <si>
    <t>CONTRATACION DE SERVICIOS DE ALQUILER DE VEHICULO</t>
  </si>
  <si>
    <t>ESCLAVINA</t>
  </si>
  <si>
    <t>ADQUISICION DE ESCLAVINAS</t>
  </si>
  <si>
    <t>Textiles de algodón tejido</t>
  </si>
  <si>
    <t>BOTELLAS DE AGUA</t>
  </si>
  <si>
    <t>ADQUISICION DE BOTELLAS DE AGUA</t>
  </si>
  <si>
    <t>PIN INSTITUCIONALES</t>
  </si>
  <si>
    <t>ADQUISICION DE PIN INSTITUCIONALES</t>
  </si>
  <si>
    <t>Insignias</t>
  </si>
  <si>
    <t>TSHIRT</t>
  </si>
  <si>
    <t>ADQUISICION DE TSHIRT</t>
  </si>
  <si>
    <t>CAPACITACION</t>
  </si>
  <si>
    <t>SERVICIO DE CAPACITACIONES</t>
  </si>
  <si>
    <t xml:space="preserve">PALETAS DE PLASTICOS PARA ALMACEN </t>
  </si>
  <si>
    <t>24112702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</si>
</sst>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16" x14ac:knownFonts="1">
    <font>
      <sz val="11"/>
      <color theme="1"/>
      <name val="Calibri"/>
      <family val="2"/>
      <scheme val="minor"/>
    </font>
    <font>
      <sz val="11"/>
      <color theme="1"/>
      <name val="Calibri"/>
      <family val="2"/>
      <scheme val="minor"/>
    </font>
    <font>
      <sz val="11"/>
      <color theme="1"/>
      <name val="Calibri"/>
      <scheme val="minor"/>
    </font>
    <font>
      <sz val="10"/>
      <name val="Arial"/>
    </font>
    <font>
      <sz val="8"/>
      <color theme="1"/>
      <name val="Calibri"/>
      <scheme val="minor"/>
    </font>
    <font>
      <b/>
      <sz val="8"/>
      <color theme="1"/>
      <name val="Calibri"/>
      <scheme val="minor"/>
    </font>
    <font>
      <sz val="14"/>
      <color theme="1"/>
      <name val="Calibri"/>
    </font>
    <font>
      <b/>
      <sz val="12"/>
      <color theme="1"/>
      <name val="Calibri"/>
    </font>
    <font>
      <b/>
      <sz val="16"/>
      <color theme="1"/>
      <name val="Calibri"/>
    </font>
    <font>
      <b/>
      <sz val="18"/>
      <color theme="0"/>
      <name val="Calibri"/>
    </font>
    <font>
      <b/>
      <sz val="9"/>
      <name val="Tahoma"/>
      <family val="2"/>
    </font>
    <font>
      <sz val="8"/>
      <color theme="1"/>
      <name val="Calibri"/>
      <family val="2"/>
      <scheme val="minor"/>
    </font>
    <font>
      <b/>
      <sz val="8"/>
      <color theme="1"/>
      <name val="Calibri"/>
      <family val="2"/>
      <scheme val="minor"/>
    </font>
    <font>
      <b/>
      <sz val="9"/>
      <color rgb="FF002060"/>
      <name val="Calibri"/>
      <family val="2"/>
    </font>
    <font>
      <sz val="9"/>
      <color theme="1"/>
      <name val="Calibri"/>
      <family val="2"/>
    </font>
    <font>
      <b/>
      <sz val="9"/>
      <color theme="1"/>
      <name val="Calibri"/>
      <family val="2"/>
    </font>
  </fonts>
  <fills count="10">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9">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ck">
        <color theme="0" tint="-0.49992370372631001"/>
      </top>
      <bottom/>
      <diagonal/>
    </border>
  </borders>
  <cellStyleXfs count="53">
    <xf numFmtId="0" fontId="0" fillId="0" borderId="0"/>
    <xf numFmtId="0" fontId="2" fillId="0" borderId="0"/>
    <xf numFmtId="9" fontId="3" fillId="0" borderId="0"/>
    <xf numFmtId="166" fontId="3" fillId="0" borderId="0"/>
    <xf numFmtId="164" fontId="3" fillId="0" borderId="0"/>
    <xf numFmtId="167" fontId="3" fillId="0" borderId="0"/>
    <xf numFmtId="16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2" borderId="1">
      <alignment horizontal="center" vertical="center" wrapText="1"/>
    </xf>
    <xf numFmtId="0" fontId="5" fillId="2" borderId="1">
      <alignment horizontal="center" vertical="center" textRotation="90" wrapText="1"/>
    </xf>
    <xf numFmtId="0" fontId="5" fillId="0" borderId="1">
      <alignment horizontal="center" vertical="center"/>
    </xf>
    <xf numFmtId="169" fontId="5" fillId="0" borderId="1">
      <alignment horizontal="center" vertical="center"/>
    </xf>
    <xf numFmtId="0" fontId="5" fillId="3" borderId="1">
      <alignment horizontal="center" vertical="center"/>
    </xf>
    <xf numFmtId="0" fontId="5"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5" fillId="0" borderId="1">
      <alignment horizontal="center" vertical="center"/>
    </xf>
    <xf numFmtId="0" fontId="5" fillId="0" borderId="1">
      <alignment horizontal="left" vertical="center"/>
    </xf>
    <xf numFmtId="0" fontId="5" fillId="3" borderId="1">
      <alignment horizontal="center" vertical="center"/>
    </xf>
    <xf numFmtId="0" fontId="4" fillId="5" borderId="2">
      <alignment horizontal="left" vertical="center"/>
    </xf>
  </cellStyleXfs>
  <cellXfs count="61">
    <xf numFmtId="0" fontId="0" fillId="0" borderId="0" xfId="0"/>
    <xf numFmtId="0" fontId="2" fillId="0" borderId="0" xfId="1"/>
    <xf numFmtId="0" fontId="4" fillId="0" borderId="0" xfId="1" applyFont="1"/>
    <xf numFmtId="0" fontId="4" fillId="0" borderId="2" xfId="1" applyFont="1" applyBorder="1" applyAlignment="1">
      <alignment horizontal="center" vertical="center"/>
    </xf>
    <xf numFmtId="0" fontId="5" fillId="2" borderId="1" xfId="40">
      <alignment horizontal="center" vertical="center" wrapText="1"/>
    </xf>
    <xf numFmtId="0" fontId="5" fillId="0" borderId="1" xfId="42">
      <alignment horizontal="center" vertical="center"/>
    </xf>
    <xf numFmtId="0" fontId="5" fillId="0" borderId="1" xfId="42" applyProtection="1">
      <alignment horizontal="center" vertical="center"/>
      <protection locked="0"/>
    </xf>
    <xf numFmtId="0" fontId="5" fillId="3" borderId="1" xfId="44">
      <alignment horizontal="center" vertical="center"/>
    </xf>
    <xf numFmtId="0" fontId="4" fillId="5" borderId="2" xfId="46" applyProtection="1">
      <alignment horizontal="center" vertical="center"/>
      <protection locked="0"/>
    </xf>
    <xf numFmtId="0" fontId="4" fillId="5" borderId="2" xfId="48">
      <alignment horizontal="center" vertical="center" wrapText="1"/>
    </xf>
    <xf numFmtId="170" fontId="4" fillId="5" borderId="2" xfId="47">
      <alignment horizontal="center" vertical="center"/>
    </xf>
    <xf numFmtId="170" fontId="4" fillId="5" borderId="2" xfId="47" applyProtection="1">
      <alignment horizontal="center" vertical="center"/>
      <protection locked="0"/>
    </xf>
    <xf numFmtId="0" fontId="5" fillId="4" borderId="1" xfId="45">
      <alignment horizontal="center" vertical="center"/>
    </xf>
    <xf numFmtId="0" fontId="5" fillId="4" borderId="2" xfId="45" applyBorder="1">
      <alignment horizontal="center" vertical="center"/>
    </xf>
    <xf numFmtId="170" fontId="4" fillId="4" borderId="2" xfId="47" applyFill="1">
      <alignment horizontal="center" vertical="center"/>
    </xf>
    <xf numFmtId="171" fontId="5" fillId="0" borderId="1" xfId="43" applyNumberFormat="1" applyProtection="1">
      <alignment horizontal="center" vertical="center"/>
      <protection locked="0"/>
    </xf>
    <xf numFmtId="0" fontId="6" fillId="7" borderId="0" xfId="1" applyFont="1" applyFill="1" applyAlignment="1">
      <alignment horizontal="center" vertical="center"/>
    </xf>
    <xf numFmtId="0" fontId="6" fillId="7" borderId="8" xfId="1" applyFont="1" applyFill="1" applyBorder="1" applyAlignment="1">
      <alignment horizontal="center" vertical="center"/>
    </xf>
    <xf numFmtId="0" fontId="6" fillId="0" borderId="8" xfId="1" applyFont="1" applyBorder="1" applyAlignment="1" applyProtection="1">
      <alignment vertical="center"/>
      <protection hidden="1"/>
    </xf>
    <xf numFmtId="0" fontId="7" fillId="7" borderId="0" xfId="1" applyFont="1" applyFill="1" applyAlignment="1">
      <alignment vertical="top" wrapText="1"/>
    </xf>
    <xf numFmtId="0" fontId="7" fillId="7" borderId="0" xfId="1" applyFont="1" applyFill="1" applyAlignment="1">
      <alignment vertical="center" wrapText="1"/>
    </xf>
    <xf numFmtId="0" fontId="6" fillId="7" borderId="0" xfId="1" applyFont="1" applyFill="1" applyAlignment="1">
      <alignment vertical="center"/>
    </xf>
    <xf numFmtId="0" fontId="8" fillId="7" borderId="5" xfId="1" applyFont="1" applyFill="1" applyBorder="1" applyAlignment="1">
      <alignment vertical="center"/>
    </xf>
    <xf numFmtId="0" fontId="8" fillId="7" borderId="0" xfId="1" applyFont="1" applyFill="1" applyAlignment="1">
      <alignment vertical="center"/>
    </xf>
    <xf numFmtId="169" fontId="5" fillId="0" borderId="1" xfId="43" applyProtection="1">
      <alignment horizontal="center" vertical="center"/>
      <protection locked="0"/>
    </xf>
    <xf numFmtId="0" fontId="5" fillId="0" borderId="1" xfId="49">
      <alignment horizontal="center" vertical="center"/>
    </xf>
    <xf numFmtId="0" fontId="5" fillId="3" borderId="1" xfId="51">
      <alignment horizontal="center" vertical="center"/>
    </xf>
    <xf numFmtId="0" fontId="5" fillId="0" borderId="1" xfId="50" applyProtection="1">
      <alignment horizontal="left" vertical="center"/>
      <protection locked="0"/>
    </xf>
    <xf numFmtId="0" fontId="4" fillId="5" borderId="2" xfId="52" applyProtection="1">
      <alignment horizontal="left" vertical="center"/>
      <protection locked="0"/>
    </xf>
    <xf numFmtId="0" fontId="5" fillId="4" borderId="1" xfId="45" applyFont="1">
      <alignment horizontal="center" vertical="center"/>
    </xf>
    <xf numFmtId="0" fontId="2" fillId="7" borderId="2" xfId="1" applyFill="1" applyBorder="1" applyAlignment="1" applyProtection="1">
      <alignment horizontal="center" vertical="center"/>
      <protection locked="0"/>
    </xf>
    <xf numFmtId="0" fontId="11" fillId="5" borderId="2" xfId="52" applyFont="1" applyProtection="1">
      <alignment horizontal="left" vertical="center"/>
      <protection locked="0"/>
    </xf>
    <xf numFmtId="0" fontId="12" fillId="0" borderId="1" xfId="42" applyFont="1" applyProtection="1">
      <alignment horizontal="center" vertical="center"/>
      <protection locked="0"/>
    </xf>
    <xf numFmtId="0" fontId="11" fillId="5" borderId="2" xfId="46" applyFont="1" applyProtection="1">
      <alignment horizontal="center" vertical="center"/>
      <protection locked="0"/>
    </xf>
    <xf numFmtId="0" fontId="4" fillId="0" borderId="2" xfId="1" applyFont="1" applyBorder="1" applyAlignment="1" applyProtection="1">
      <alignment horizontal="center" vertical="center"/>
      <protection locked="0"/>
    </xf>
    <xf numFmtId="0" fontId="5" fillId="2" borderId="1" xfId="41">
      <alignment horizontal="center" vertical="center" textRotation="90" wrapText="1"/>
    </xf>
    <xf numFmtId="0" fontId="5" fillId="0" borderId="1" xfId="42">
      <alignment horizontal="center" vertical="center"/>
    </xf>
    <xf numFmtId="0" fontId="6" fillId="0" borderId="0" xfId="1" applyFont="1" applyAlignment="1" applyProtection="1">
      <alignment horizontal="center" vertical="center"/>
      <protection hidden="1"/>
    </xf>
    <xf numFmtId="0" fontId="9" fillId="9" borderId="0" xfId="1" applyFont="1" applyFill="1" applyAlignment="1">
      <alignment horizontal="center" vertical="top" wrapText="1"/>
    </xf>
    <xf numFmtId="0" fontId="9" fillId="9" borderId="0" xfId="1" applyFont="1" applyFill="1" applyAlignment="1">
      <alignment horizontal="center" vertical="center" wrapText="1"/>
    </xf>
    <xf numFmtId="0" fontId="11" fillId="0" borderId="0" xfId="0" applyFont="1"/>
    <xf numFmtId="0" fontId="11" fillId="0" borderId="2" xfId="0" applyFont="1" applyBorder="1" applyAlignment="1" applyProtection="1">
      <alignment horizontal="center" vertical="center"/>
      <protection locked="0"/>
    </xf>
    <xf numFmtId="0" fontId="0" fillId="0" borderId="0" xfId="0" applyFont="1" applyAlignment="1">
      <alignment vertical="center"/>
    </xf>
    <xf numFmtId="0" fontId="11" fillId="0" borderId="2" xfId="0" applyFont="1" applyBorder="1" applyAlignment="1">
      <alignment horizontal="center" vertical="center"/>
    </xf>
    <xf numFmtId="0" fontId="12" fillId="4" borderId="1" xfId="45" applyFont="1">
      <alignment horizontal="center" vertical="center"/>
    </xf>
    <xf numFmtId="0" fontId="13" fillId="7" borderId="0" xfId="0" applyFont="1" applyFill="1" applyAlignment="1">
      <alignment horizontal="left" vertical="center"/>
    </xf>
    <xf numFmtId="0" fontId="14" fillId="7" borderId="0" xfId="0" applyFont="1" applyFill="1" applyAlignment="1" applyProtection="1">
      <alignment vertical="center"/>
      <protection hidden="1"/>
    </xf>
    <xf numFmtId="0" fontId="14" fillId="7" borderId="4" xfId="0" applyFont="1" applyFill="1" applyBorder="1" applyAlignment="1" applyProtection="1">
      <alignment vertical="center"/>
      <protection hidden="1"/>
    </xf>
    <xf numFmtId="38" fontId="15" fillId="6" borderId="6" xfId="0" applyNumberFormat="1" applyFont="1" applyFill="1" applyBorder="1" applyAlignment="1">
      <alignment vertical="center" wrapText="1"/>
    </xf>
    <xf numFmtId="49" fontId="15" fillId="0" borderId="6"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0" fontId="13" fillId="7" borderId="0" xfId="0" applyFont="1" applyFill="1" applyAlignment="1">
      <alignment vertical="center"/>
    </xf>
    <xf numFmtId="0" fontId="15" fillId="8" borderId="6" xfId="0" applyFont="1" applyFill="1" applyBorder="1" applyAlignment="1">
      <alignment horizontal="left" vertical="center"/>
    </xf>
    <xf numFmtId="0" fontId="15" fillId="0" borderId="1" xfId="0" applyFont="1" applyBorder="1" applyAlignment="1">
      <alignment vertical="center"/>
    </xf>
    <xf numFmtId="0" fontId="15" fillId="8" borderId="3" xfId="0" applyFont="1" applyFill="1" applyBorder="1" applyAlignment="1">
      <alignment horizontal="left" vertical="center"/>
    </xf>
    <xf numFmtId="168" fontId="15" fillId="0" borderId="1" xfId="0" applyNumberFormat="1" applyFont="1" applyBorder="1" applyAlignment="1">
      <alignment vertical="center"/>
    </xf>
    <xf numFmtId="1" fontId="15" fillId="0" borderId="6" xfId="0" applyNumberFormat="1" applyFont="1" applyBorder="1" applyAlignment="1" applyProtection="1">
      <alignment horizontal="center" vertical="center" wrapText="1"/>
      <protection locked="0"/>
    </xf>
    <xf numFmtId="1" fontId="15" fillId="0" borderId="7" xfId="0" applyNumberFormat="1" applyFont="1" applyBorder="1" applyAlignment="1" applyProtection="1">
      <alignment horizontal="center" vertical="center" wrapText="1"/>
      <protection locked="0"/>
    </xf>
    <xf numFmtId="0" fontId="14" fillId="7" borderId="5" xfId="0" applyFont="1" applyFill="1" applyBorder="1" applyAlignment="1" applyProtection="1">
      <alignment vertical="center"/>
      <protection hidden="1"/>
    </xf>
    <xf numFmtId="171" fontId="15" fillId="0" borderId="6" xfId="0" applyNumberFormat="1" applyFont="1" applyBorder="1" applyAlignment="1" applyProtection="1">
      <alignment horizontal="center" vertical="center" wrapText="1"/>
      <protection locked="0"/>
    </xf>
    <xf numFmtId="171" fontId="15" fillId="0" borderId="7" xfId="0" applyNumberFormat="1" applyFont="1" applyBorder="1" applyAlignment="1" applyProtection="1">
      <alignment horizontal="center" vertical="center" wrapText="1"/>
      <protection locked="0"/>
    </xf>
  </cellXfs>
  <cellStyles count="53">
    <cellStyle name="ArticleBody" xfId="46"/>
    <cellStyle name="ArticleBody_currency" xfId="47"/>
    <cellStyle name="ArticleBody_text" xfId="52"/>
    <cellStyle name="ArticleBody_UNSCPCDescription" xfId="48"/>
    <cellStyle name="ArticleHeader" xfId="45"/>
    <cellStyle name="Comma" xfId="5"/>
    <cellStyle name="Comma [0]" xfId="6"/>
    <cellStyle name="Currency" xfId="3"/>
    <cellStyle name="Currency [0]" xfId="4"/>
    <cellStyle name="Normal" xfId="0" builtinId="0"/>
    <cellStyle name="Normal 2" xfId="7"/>
    <cellStyle name="Normal 3" xfId="8"/>
    <cellStyle name="Normal 3 10" xfId="9"/>
    <cellStyle name="Normal 3 11" xfId="10"/>
    <cellStyle name="Normal 3 12" xfId="11"/>
    <cellStyle name="Normal 3 13" xfId="12"/>
    <cellStyle name="Normal 3 14" xfId="13"/>
    <cellStyle name="Normal 3 15" xfId="14"/>
    <cellStyle name="Normal 3 16" xfId="15"/>
    <cellStyle name="Normal 3 17" xfId="16"/>
    <cellStyle name="Normal 3 18" xfId="17"/>
    <cellStyle name="Normal 3 19" xfId="18"/>
    <cellStyle name="Normal 3 2" xfId="19"/>
    <cellStyle name="Normal 3 20" xfId="20"/>
    <cellStyle name="Normal 3 21" xfId="21"/>
    <cellStyle name="Normal 3 22" xfId="22"/>
    <cellStyle name="Normal 3 23" xfId="23"/>
    <cellStyle name="Normal 3 24" xfId="24"/>
    <cellStyle name="Normal 3 25" xfId="25"/>
    <cellStyle name="Normal 3 26" xfId="26"/>
    <cellStyle name="Normal 3 27" xfId="27"/>
    <cellStyle name="Normal 3 28" xfId="28"/>
    <cellStyle name="Normal 3 29" xfId="29"/>
    <cellStyle name="Normal 3 3" xfId="30"/>
    <cellStyle name="Normal 3 30" xfId="31"/>
    <cellStyle name="Normal 3 31" xfId="32"/>
    <cellStyle name="Normal 3 32" xfId="33"/>
    <cellStyle name="Normal 3 4" xfId="34"/>
    <cellStyle name="Normal 3 5" xfId="35"/>
    <cellStyle name="Normal 3 6" xfId="36"/>
    <cellStyle name="Normal 3 7" xfId="37"/>
    <cellStyle name="Normal 3 8" xfId="38"/>
    <cellStyle name="Normal 3 9" xfId="39"/>
    <cellStyle name="Normal 4" xfId="1"/>
    <cellStyle name="Percent" xfId="2"/>
    <cellStyle name="ProcessBody" xfId="42"/>
    <cellStyle name="ProcessBody_address" xfId="50"/>
    <cellStyle name="ProcessBody_datetime" xfId="43"/>
    <cellStyle name="ProcessBody_number" xfId="49"/>
    <cellStyle name="ProcessHeader" xfId="40"/>
    <cellStyle name="ProcessHeader_vertical" xfId="41"/>
    <cellStyle name="ProcessSubHeader" xfId="44"/>
    <cellStyle name="ProcessSubHeader_lugar" xfId="51"/>
  </cellStyles>
  <dxfs count="104">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03"/>
    </tableStyle>
    <tableStyle name="Table Style 2" pivot="0" count="2">
      <tableStyleElement type="wholeTable" dxfId="102"/>
      <tableStyleElement type="totalRow" dxfId="101"/>
    </tableStyle>
    <tableStyle name="Table Style 3" pivot="0" count="3">
      <tableStyleElement type="lastColumn" dxfId="100"/>
      <tableStyleElement type="firstRowStripe" dxfId="99"/>
      <tableStyleElement type="secondRowStripe" dxfId="98"/>
    </tableStyle>
    <tableStyle name="Table Style 4" pivot="0" count="2">
      <tableStyleElement type="firstRowStripe" dxfId="97"/>
      <tableStyleElement type="secondColumnStripe" dxfId="96"/>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42333</xdr:colOff>
      <xdr:row>0</xdr:row>
      <xdr:rowOff>0</xdr:rowOff>
    </xdr:from>
    <xdr:to>
      <xdr:col>0</xdr:col>
      <xdr:colOff>1566333</xdr:colOff>
      <xdr:row>4</xdr:row>
      <xdr:rowOff>95250</xdr:rowOff>
    </xdr:to>
    <xdr:pic>
      <xdr:nvPicPr>
        <xdr:cNvPr id="2" name="Picture 2"/>
        <xdr:cNvPicPr>
          <a:picLocks noChangeAspect="1"/>
        </xdr:cNvPicPr>
      </xdr:nvPicPr>
      <xdr:blipFill>
        <a:blip xmlns:r="http://schemas.openxmlformats.org/officeDocument/2006/relationships" r:embed="rId1"/>
        <a:stretch>
          <a:fillRect/>
        </a:stretch>
      </xdr:blipFill>
      <xdr:spPr>
        <a:xfrm>
          <a:off x="42333" y="0"/>
          <a:ext cx="1524000" cy="1174750"/>
        </a:xfrm>
        <a:prstGeom prst="rect">
          <a:avLst/>
        </a:prstGeom>
        <a:noFill/>
        <a:ln>
          <a:noFill/>
        </a:ln>
      </xdr:spPr>
    </xdr:pic>
    <xdr:clientData/>
  </xdr:twoCellAnchor>
  <xdr:twoCellAnchor editAs="oneCell">
    <xdr:from>
      <xdr:col>5</xdr:col>
      <xdr:colOff>0</xdr:colOff>
      <xdr:row>0</xdr:row>
      <xdr:rowOff>0</xdr:rowOff>
    </xdr:from>
    <xdr:to>
      <xdr:col>6</xdr:col>
      <xdr:colOff>0</xdr:colOff>
      <xdr:row>4</xdr:row>
      <xdr:rowOff>84667</xdr:rowOff>
    </xdr:to>
    <xdr:pic>
      <xdr:nvPicPr>
        <xdr:cNvPr id="3" name="Picture 5"/>
        <xdr:cNvPicPr>
          <a:picLocks noChangeAspect="1"/>
        </xdr:cNvPicPr>
      </xdr:nvPicPr>
      <xdr:blipFill>
        <a:blip xmlns:r="http://schemas.openxmlformats.org/officeDocument/2006/relationships" r:embed="rId2"/>
        <a:srcRect t="15399" b="14198"/>
        <a:stretch>
          <a:fillRect/>
        </a:stretch>
      </xdr:blipFill>
      <xdr:spPr>
        <a:xfrm>
          <a:off x="9207500" y="0"/>
          <a:ext cx="1672167" cy="116416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delarosa/Desktop/PACC_2024_MIP%202d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delarosa/Desktop/PACC_2024_MIP%203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delarosa/Desktop/PACC_2024_MIP%204t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delarosa/Downloads/PACC_MI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3">
          <cell r="A3" t="str">
            <v>CIBAO NORTE</v>
          </cell>
          <cell r="B3" t="str">
            <v>CIBAO NORTE</v>
          </cell>
          <cell r="C3" t="str">
            <v>Santiago</v>
          </cell>
          <cell r="E3" t="str">
            <v>Santiago</v>
          </cell>
          <cell r="F3" t="str">
            <v>Santiago de los Caballeros</v>
          </cell>
          <cell r="I3" t="str">
            <v>Arenoso</v>
          </cell>
          <cell r="J3" t="str">
            <v>Arenoso</v>
          </cell>
          <cell r="Q3" t="str">
            <v>Caja</v>
          </cell>
        </row>
        <row r="4">
          <cell r="A4" t="str">
            <v>CIBAO SUR</v>
          </cell>
          <cell r="B4" t="str">
            <v>CIBAO NORTE</v>
          </cell>
          <cell r="C4" t="str">
            <v>Puerto Plata</v>
          </cell>
          <cell r="E4" t="str">
            <v>Santiago</v>
          </cell>
          <cell r="F4" t="str">
            <v>Sabana Iglesia</v>
          </cell>
          <cell r="I4" t="str">
            <v>Arenoso</v>
          </cell>
          <cell r="J4" t="str">
            <v>El Aguacate</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Q6" t="str">
            <v>Ciento</v>
          </cell>
        </row>
        <row r="7">
          <cell r="A7" t="str">
            <v>VALDESIA</v>
          </cell>
          <cell r="B7" t="str">
            <v>CIBAO SUR</v>
          </cell>
          <cell r="C7" t="str">
            <v>Monseñor Nouel</v>
          </cell>
          <cell r="E7" t="str">
            <v>Santiago</v>
          </cell>
          <cell r="F7" t="str">
            <v>Licey al Medio</v>
          </cell>
          <cell r="I7" t="str">
            <v>Hostos</v>
          </cell>
          <cell r="J7" t="str">
            <v>Hostos</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Q12" t="str">
            <v>Gramo</v>
          </cell>
        </row>
        <row r="13">
          <cell r="B13" t="str">
            <v>CIBAO NOROESTE</v>
          </cell>
          <cell r="C13" t="str">
            <v>Valverde</v>
          </cell>
          <cell r="E13" t="str">
            <v>Puerto Plata</v>
          </cell>
          <cell r="F13" t="str">
            <v>Altamira</v>
          </cell>
          <cell r="I13" t="str">
            <v>San Fco. de Macorís</v>
          </cell>
          <cell r="J13" t="str">
            <v>Jaya</v>
          </cell>
          <cell r="Q13" t="str">
            <v>Hora</v>
          </cell>
        </row>
        <row r="14">
          <cell r="B14" t="str">
            <v>CIBAO NOROESTE</v>
          </cell>
          <cell r="C14" t="str">
            <v>Santiago Rodriguez</v>
          </cell>
          <cell r="E14" t="str">
            <v>Puerto Plata</v>
          </cell>
          <cell r="F14" t="str">
            <v>Guananico</v>
          </cell>
          <cell r="I14" t="str">
            <v>San Fco. de Macorís</v>
          </cell>
          <cell r="J14" t="str">
            <v>La Peña</v>
          </cell>
          <cell r="Q14" t="str">
            <v>Hora Hombre</v>
          </cell>
        </row>
        <row r="15">
          <cell r="B15" t="str">
            <v>CIBAO NOROESTE</v>
          </cell>
          <cell r="C15" t="str">
            <v>Montecristi</v>
          </cell>
          <cell r="E15" t="str">
            <v>Puerto Plata</v>
          </cell>
          <cell r="F15" t="str">
            <v>Imbert</v>
          </cell>
          <cell r="I15" t="str">
            <v>San Fco. de Macorís</v>
          </cell>
          <cell r="J15" t="str">
            <v>San Fco. de Macorís</v>
          </cell>
          <cell r="Q15" t="str">
            <v>Kilogramo</v>
          </cell>
        </row>
        <row r="16">
          <cell r="B16" t="str">
            <v>CIBAO NOROESTE</v>
          </cell>
          <cell r="C16" t="str">
            <v>Dajabón</v>
          </cell>
          <cell r="E16" t="str">
            <v>Puerto Plata</v>
          </cell>
          <cell r="F16" t="str">
            <v>Los Hidalgos</v>
          </cell>
          <cell r="I16" t="str">
            <v>Villa Riva</v>
          </cell>
          <cell r="J16" t="str">
            <v>Agua Santa del Yuna</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sheetData sheetId="2">
        <row r="2">
          <cell r="P2" t="str">
            <v>Un</v>
          </cell>
          <cell r="Q2" t="str">
            <v>Desc.</v>
          </cell>
        </row>
        <row r="3">
          <cell r="P3" t="str">
            <v>CAJ</v>
          </cell>
          <cell r="Q3" t="str">
            <v>Caja</v>
          </cell>
          <cell r="U3" t="str">
            <v>TOTAL COMPRA ESTIMADA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refreshError="1"/>
      <sheetData sheetId="4" refreshError="1"/>
    </sheetDataSet>
  </externalBook>
</externalLink>
</file>

<file path=xl/tables/table1.xml><?xml version="1.0" encoding="utf-8"?>
<table xmlns="http://schemas.openxmlformats.org/spreadsheetml/2006/main" id="1" name="Table348" displayName="Table348" ref="A2325:F2328" totalsRowShown="0">
  <autoFilter ref="A2325:F23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0" name="Table357" displayName="Table357" ref="A2502:F2504" totalsRowShown="0">
  <autoFilter ref="A2502:F25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0" name="Table3150" displayName="Table3150" ref="A3784:F3802" totalsRowShown="0">
  <autoFilter ref="A3784:F3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1" name="Table3151" displayName="Table3151" ref="A3812:F3813" totalsRowShown="0">
  <autoFilter ref="A3812:F3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2" name="Table3152" displayName="Table3152" ref="A3823:F3841" totalsRowShown="0">
  <autoFilter ref="A3823:F38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0" dataCellStyle="ArticleBody"/>
    <tableColumn id="5" name="PRECIO UNITARIO ESTIMADO" dataDxfId="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3" name="Table3153" displayName="Table3153" ref="A3851:F3852" totalsRowShown="0">
  <autoFilter ref="A3851:F38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4" name="Table3154" displayName="Table3154" ref="A3862:F3880" totalsRowShown="0">
  <autoFilter ref="A3862:F38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5" name="Table3155" displayName="Table3155" ref="A3890:F3892" totalsRowShown="0">
  <autoFilter ref="A3890:F38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6" name="Table3156" displayName="Table3156" ref="A3902:F3903" totalsRowShown="0">
  <autoFilter ref="A3902:F39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7" name="Table3157" displayName="Table3157" ref="A3913:F3931" totalsRowShown="0">
  <autoFilter ref="A3913:F39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6" dataCellStyle="ArticleBody"/>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8" name="Table3158" displayName="Table3158" ref="A3941:F3942" totalsRowShown="0">
  <autoFilter ref="A3941:F3942"/>
  <tableColumns count="6">
    <tableColumn id="1" name="CÓDIGO CATÁLOGO" dataDxfId="6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09" name="Table348110" displayName="Table348110" ref="A3952:F3955" totalsRowShown="0">
  <autoFilter ref="A3952:F39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1" name="Table358" displayName="Table358" ref="A2514:F2516" totalsRowShown="0">
  <autoFilter ref="A2514:F25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0" name="Table349111" displayName="Table349111" ref="A3965:F3967" totalsRowShown="0">
  <autoFilter ref="A3965:F39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1" name="Table350112" displayName="Table350112" ref="A3977:F3978" totalsRowShown="0">
  <autoFilter ref="A3977:F39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2" name="Table351113" displayName="Table351113" ref="A3988:F4047" totalsRowShown="0">
  <autoFilter ref="A3988:F40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3" name="Table352114" displayName="Table352114" ref="A4057:F4070" totalsRowShown="0">
  <autoFilter ref="A4057:F40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4" name="Table353115" displayName="Table353115" ref="A4080:F4082" totalsRowShown="0">
  <autoFilter ref="A4080:F40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5" name="Table354116" displayName="Table354116" ref="A4092:F4095" totalsRowShown="0">
  <autoFilter ref="A4092:F4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6" name="Table355117" displayName="Table355117" ref="A4105:F4106" totalsRowShown="0">
  <autoFilter ref="A4105:F4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7" name="Table356118" displayName="Table356118" ref="A4116:F4119" totalsRowShown="0">
  <autoFilter ref="A4116:F41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8" name="Table357119" displayName="Table357119" ref="A4129:F4131" totalsRowShown="0">
  <autoFilter ref="A4129:F41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19" name="Table358120" displayName="Table358120" ref="A4141:F4143" totalsRowShown="0">
  <autoFilter ref="A4141:F4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2" name="Table359" displayName="Table359" ref="A2526:F2527" totalsRowShown="0">
  <autoFilter ref="A2526:F25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0" name="Table359121" displayName="Table359121" ref="A4153:F4154" totalsRowShown="0">
  <autoFilter ref="A4153:F4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1" name="Table360122" displayName="Table360122" ref="A4164:F4166" totalsRowShown="0">
  <autoFilter ref="A4164:F41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2" name="Table361123" displayName="Table361123" ref="A4176:F4183" totalsRowShown="0">
  <autoFilter ref="A4176:F41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3" name="Table362124" displayName="Table362124" ref="A4193:F4194" totalsRowShown="0">
  <autoFilter ref="A4193:F41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4" name="Table363125" displayName="Table363125" ref="A4204:F4205" totalsRowShown="0">
  <autoFilter ref="A4204:F4205"/>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5" name="Table364126" displayName="Table364126" ref="A4215:F4216" totalsRowShown="0">
  <autoFilter ref="A4215:F4216"/>
  <tableColumns count="6">
    <tableColumn id="1" name="CÓDIGO CATÁLOGO" dataDxfId="6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6" name="Table365127" displayName="Table365127" ref="A4226:F4227" totalsRowShown="0">
  <autoFilter ref="A4226:F4227"/>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7" name="Table366128" displayName="Table366128" ref="A4237:F4238" totalsRowShown="0">
  <autoFilter ref="A4237:F4238"/>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8" name="Table367129" displayName="Table367129" ref="A4248:F4249" totalsRowShown="0">
  <autoFilter ref="A4248:F4249"/>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29" name="Table368130" displayName="Table368130" ref="A4259:F4260" totalsRowShown="0">
  <autoFilter ref="A4259:F4260"/>
  <tableColumns count="6">
    <tableColumn id="1" name="CÓDIGO CATÁLOGO" dataDxfId="5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3" name="Table360" displayName="Table360" ref="A2537:F2539" totalsRowShown="0">
  <autoFilter ref="A2537:F2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0" name="Table369131" displayName="Table369131" ref="A4270:F4272" totalsRowShown="0">
  <autoFilter ref="A4270:F42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1" name="Table370132" displayName="Table370132" ref="A4282:F4283" totalsRowShown="0">
  <autoFilter ref="A4282:F4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2" name="Table371133" displayName="Table371133" ref="A4293:F4294" totalsRowShown="0">
  <autoFilter ref="A4293:F4294"/>
  <tableColumns count="6">
    <tableColumn id="1" name="CÓDIGO CATÁLOGO" dataDxfId="5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3" name="Table372134" displayName="Table372134" ref="A4304:F4305" totalsRowShown="0">
  <autoFilter ref="A4304:F4305"/>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4" name="Table373135" displayName="Table373135" ref="A4315:F4316" totalsRowShown="0">
  <autoFilter ref="A4315:F4316"/>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5" name="Table374136" displayName="Table374136" ref="A4326:F4327" totalsRowShown="0">
  <autoFilter ref="A4326:F43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6" name="Table375137" displayName="Table375137" ref="A4337:F4339" totalsRowShown="0">
  <autoFilter ref="A4337:F43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7" name="Table376138" displayName="Table376138" ref="A4349:F4350" totalsRowShown="0">
  <autoFilter ref="A4349:F4350"/>
  <tableColumns count="6">
    <tableColumn id="1" name="CÓDIGO CATÁLOGO" dataDxfId="5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8" name="Table377139" displayName="Table377139" ref="A4360:F4361" totalsRowShown="0">
  <autoFilter ref="A4360:F43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39" name="Table378140" displayName="Table378140" ref="A4371:F4379" totalsRowShown="0">
  <autoFilter ref="A4371:F43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4" name="Table361" displayName="Table361" ref="A2549:F2556" totalsRowShown="0">
  <autoFilter ref="A2549:F25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0" name="Table379141" displayName="Table379141" ref="A4389:F4390" totalsRowShown="0">
  <autoFilter ref="A4389:F43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1" name="Table380142" displayName="Table380142" ref="A4400:F4401" totalsRowShown="0">
  <autoFilter ref="A4400:F44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2" name="Table381143" displayName="Table381143" ref="A4411:F4412" totalsRowShown="0">
  <autoFilter ref="A4411:F4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3" name="Table382144" displayName="Table382144" ref="A4422:F4423" totalsRowShown="0">
  <autoFilter ref="A4422:F4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4" name="Table383145" displayName="Table383145" ref="A4433:F4436" totalsRowShown="0">
  <autoFilter ref="A4433:F44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5" name="Table384146" displayName="Table384146" ref="A4446:F4468" totalsRowShown="0">
  <autoFilter ref="A4446:F4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6" name="Table385147" displayName="Table385147" ref="A4478:F4479" totalsRowShown="0">
  <autoFilter ref="A4478:F44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47" name="Table386148" displayName="Table386148" ref="A4489:F4490" totalsRowShown="0">
  <autoFilter ref="A4489:F4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48" name="Table387149" displayName="Table387149" ref="A4500:F4501" totalsRowShown="0">
  <autoFilter ref="A4500:F45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149" name="Table388150" displayName="Table388150" ref="A4511:F4513" totalsRowShown="0">
  <autoFilter ref="A4511:F45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62" displayName="Table362" ref="A2566:F2567" totalsRowShown="0">
  <autoFilter ref="A2566:F25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id="150" name="Table389151" displayName="Table389151" ref="A4523:F4524" totalsRowShown="0">
  <autoFilter ref="A4523:F45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id="151" name="Table390152" displayName="Table390152" ref="A4534:F4535" totalsRowShown="0">
  <autoFilter ref="A4534:F45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id="152" name="Table391153" displayName="Table391153" ref="A4545:F4546" totalsRowShown="0">
  <autoFilter ref="A4545:F45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id="153" name="Table392154" displayName="Table392154" ref="A4556:F4572" totalsRowShown="0">
  <autoFilter ref="A4556:F4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id="154" name="Table393155" displayName="Table393155" ref="A4582:F4593" totalsRowShown="0">
  <autoFilter ref="A4582:F45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id="155" name="Table394156" displayName="Table394156" ref="A4603:F4605" totalsRowShown="0">
  <autoFilter ref="A4603:F46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id="156" name="Table395157" displayName="Table395157" ref="A4615:F4617" totalsRowShown="0">
  <autoFilter ref="A4615:F4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id="157" name="Table396158" displayName="Table396158" ref="A4627:F4628" totalsRowShown="0">
  <autoFilter ref="A4627:F46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id="158" name="Table397159" displayName="Table397159" ref="A4638:F4639" totalsRowShown="0">
  <autoFilter ref="A4638:F46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id="159" name="Table398160" displayName="Table398160" ref="A4649:F4650" totalsRowShown="0">
  <autoFilter ref="A4649:F46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6" name="Table363" displayName="Table363" ref="A2577:F2578" totalsRowShown="0">
  <autoFilter ref="A2577:F2578"/>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id="160" name="Table399161" displayName="Table399161" ref="A4660:F4661" totalsRowShown="0">
  <autoFilter ref="A4660:F46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id="161" name="Table3100162" displayName="Table3100162" ref="A4671:F4672" totalsRowShown="0">
  <autoFilter ref="A4671:F4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id="162" name="Table3101163" displayName="Table3101163" ref="A4682:F4685" totalsRowShown="0">
  <autoFilter ref="A4682:F46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id="163" name="Table3102164" displayName="Table3102164" ref="A4695:F4696" totalsRowShown="0">
  <autoFilter ref="A4695:F46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id="164" name="Table3103165" displayName="Table3103165" ref="A4706:F4707" totalsRowShown="0">
  <autoFilter ref="A4706:F47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id="165" name="Table3104166" displayName="Table3104166" ref="A4717:F4718" totalsRowShown="0">
  <autoFilter ref="A4717:F47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id="166" name="Table3105167" displayName="Table3105167" ref="A4728:F4732" totalsRowShown="0">
  <autoFilter ref="A4728:F4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id="167" name="Table3106168" displayName="Table3106168" ref="A4742:F4743" totalsRowShown="0">
  <autoFilter ref="A4742:F47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id="168" name="Table3107169" displayName="Table3107169" ref="A4753:F4754" totalsRowShown="0">
  <autoFilter ref="A4753:F47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id="169" name="Table3108170" displayName="Table3108170" ref="A4764:F4765" totalsRowShown="0">
  <autoFilter ref="A4764:F47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7" name="Table364" displayName="Table364" ref="A2588:F2589" totalsRowShown="0">
  <autoFilter ref="A2588:F2589"/>
  <tableColumns count="6">
    <tableColumn id="1" name="CÓDIGO CATÁLOGO" dataDxfId="9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id="170" name="Table3109171" displayName="Table3109171" ref="A4775:F4786" totalsRowShown="0">
  <autoFilter ref="A4775:F47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id="171" name="Table3110172" displayName="Table3110172" ref="A4796:F4797" totalsRowShown="0">
  <autoFilter ref="A4796:F47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id="172" name="Table3111173" displayName="Table3111173" ref="A4807:F4814" totalsRowShown="0">
  <autoFilter ref="A4807:F48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id="173" name="Table3112174" displayName="Table3112174" ref="A4824:F4848" totalsRowShown="0">
  <autoFilter ref="A4824:F48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id="174" name="Table3113175" displayName="Table3113175" ref="A4858:F4863" totalsRowShown="0">
  <autoFilter ref="A4858:F48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id="175" name="Table3114176" displayName="Table3114176" ref="A4873:F4876" totalsRowShown="0">
  <autoFilter ref="A4873:F48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id="176" name="Table3115177" displayName="Table3115177" ref="A4886:F4893" totalsRowShown="0">
  <autoFilter ref="A4886:F48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id="177" name="Table3116178" displayName="Table3116178" ref="A4903:F4904" totalsRowShown="0">
  <autoFilter ref="A4903:F4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id="178" name="Table3117179" displayName="Table3117179" ref="A4914:F4916" totalsRowShown="0">
  <autoFilter ref="A4914:F4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id="179" name="Table3118180" displayName="Table3118180" ref="A4926:F4927" totalsRowShown="0">
  <autoFilter ref="A4926:F4927"/>
  <tableColumns count="6">
    <tableColumn id="1" name="CÓDIGO CATÁLOGO" dataDxfId="5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8" name="Table365" displayName="Table365" ref="A2599:F2600" totalsRowShown="0">
  <autoFilter ref="A2599:F2600"/>
  <tableColumns count="6">
    <tableColumn id="1" name="CÓDIGO CATÁLOGO" dataDxfId="9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id="180" name="Table3119181" displayName="Table3119181" ref="A4937:F4938" totalsRowShown="0">
  <autoFilter ref="A4937:F49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id="181" name="Table3120182" displayName="Table3120182" ref="A4948:F4949" totalsRowShown="0">
  <autoFilter ref="A4948:F49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id="182" name="Table3121183" displayName="Table3121183" ref="A4959:F4960" totalsRowShown="0">
  <autoFilter ref="A4959:F49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id="183" name="Table3122184" displayName="Table3122184" ref="A4970:F4984" totalsRowShown="0">
  <autoFilter ref="A4970:F49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id="184" name="Table3125185" displayName="Table3125185" ref="A4994:F4998" totalsRowShown="0">
  <autoFilter ref="A4994:F49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id="185" name="Table3126186" displayName="Table3126186" ref="A5008:F5022" totalsRowShown="0">
  <autoFilter ref="A5008:F50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id="186" name="Table3127187" displayName="Table3127187" ref="A5032:F5034" totalsRowShown="0">
  <autoFilter ref="A5032:F50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id="187" name="Table3128188" displayName="Table3128188" ref="A5044:F5058" totalsRowShown="0">
  <autoFilter ref="A5044:F5058"/>
  <tableColumns count="6">
    <tableColumn id="1" name="CÓDIGO CATÁLOGO" dataDxfId="5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id="188" name="Table3129189" displayName="Table3129189" ref="A5068:F5076" totalsRowShown="0">
  <autoFilter ref="A5068:F50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id="189" name="Table3130190" displayName="Table3130190" ref="A5086:F5100" totalsRowShown="0">
  <autoFilter ref="A5086:F5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19" name="Table366" displayName="Table366" ref="A2610:F2611" totalsRowShown="0">
  <autoFilter ref="A2610:F2611"/>
  <tableColumns count="6">
    <tableColumn id="1" name="CÓDIGO CATÁLOGO" dataDxfId="9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id="190" name="Table3131191" displayName="Table3131191" ref="A5110:F5121" totalsRowShown="0">
  <autoFilter ref="A5110:F51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id="191" name="Table3132192" displayName="Table3132192" ref="A5131:F5132" totalsRowShown="0">
  <autoFilter ref="A5131:F51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id="192" name="Table3133193" displayName="Table3133193" ref="A5142:F5153" totalsRowShown="0">
  <autoFilter ref="A5142:F5153"/>
  <tableColumns count="6">
    <tableColumn id="1" name="CÓDIGO CATÁLOGO" dataDxfId="50" dataCellStyle="ArticleBody"/>
    <tableColumn id="2" name="ARTÍCULO">
      <calculatedColumnFormula>IFERROR(INDEX(UNSPSCDes,MATCH(INDIRECT(ADDRESS(ROW(),COLUMN()-1,4)),UNSPSCCode,0)),"")</calculatedColumnFormula>
    </tableColumn>
    <tableColumn id="3" name="UNIDAD DE MEDIDA"/>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id="193" name="Table3134194" displayName="Table3134194" ref="A5163:F5177" totalsRowShown="0">
  <autoFilter ref="A5163:F51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id="194" name="Table3135195" displayName="Table3135195" ref="A5187:F5188" totalsRowShown="0">
  <autoFilter ref="A5187:F51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id="195" name="Table3136196" displayName="Table3136196" ref="A5198:F5199" totalsRowShown="0">
  <autoFilter ref="A5198:F51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id="196" name="Table3137197" displayName="Table3137197" ref="A5209:F5220" totalsRowShown="0">
  <autoFilter ref="A5209:F52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id="197" name="Table3138198" displayName="Table3138198" ref="A5230:F5231" totalsRowShown="0">
  <autoFilter ref="A5230:F52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8.xml><?xml version="1.0" encoding="utf-8"?>
<table xmlns="http://schemas.openxmlformats.org/spreadsheetml/2006/main" id="198" name="Table3139199" displayName="Table3139199" ref="A5241:F5242" totalsRowShown="0">
  <autoFilter ref="A5241:F52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9.xml><?xml version="1.0" encoding="utf-8"?>
<table xmlns="http://schemas.openxmlformats.org/spreadsheetml/2006/main" id="199" name="Table3140200" displayName="Table3140200" ref="A5252:F5266" totalsRowShown="0">
  <autoFilter ref="A5252:F52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49" displayName="Table349" ref="A2338:F2340" totalsRowShown="0">
  <autoFilter ref="A2338:F23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0" name="Table367" displayName="Table367" ref="A2621:F2622" totalsRowShown="0">
  <autoFilter ref="A2621:F2622"/>
  <tableColumns count="6">
    <tableColumn id="1" name="CÓDIGO CATÁLOGO" dataDxfId="9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0.xml><?xml version="1.0" encoding="utf-8"?>
<table xmlns="http://schemas.openxmlformats.org/spreadsheetml/2006/main" id="200" name="Table3141201" displayName="Table3141201" ref="A5276:F5278" totalsRowShown="0">
  <autoFilter ref="A5276:F52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1.xml><?xml version="1.0" encoding="utf-8"?>
<table xmlns="http://schemas.openxmlformats.org/spreadsheetml/2006/main" id="201" name="Table3142202" displayName="Table3142202" ref="A5288:F5289" totalsRowShown="0">
  <autoFilter ref="A5288:F5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2.xml><?xml version="1.0" encoding="utf-8"?>
<table xmlns="http://schemas.openxmlformats.org/spreadsheetml/2006/main" id="202" name="Table3143203" displayName="Table3143203" ref="A5299:F5310" totalsRowShown="0">
  <autoFilter ref="A5299:F53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3.xml><?xml version="1.0" encoding="utf-8"?>
<table xmlns="http://schemas.openxmlformats.org/spreadsheetml/2006/main" id="203" name="Table3145204" displayName="Table3145204" ref="A5320:F5338" totalsRowShown="0">
  <autoFilter ref="A5320:F53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4.xml><?xml version="1.0" encoding="utf-8"?>
<table xmlns="http://schemas.openxmlformats.org/spreadsheetml/2006/main" id="204" name="Table3146205" displayName="Table3146205" ref="A5348:F5350" totalsRowShown="0">
  <autoFilter ref="A5348:F5350"/>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5.xml><?xml version="1.0" encoding="utf-8"?>
<table xmlns="http://schemas.openxmlformats.org/spreadsheetml/2006/main" id="205" name="Table3147206" displayName="Table3147206" ref="A5360:F5378" totalsRowShown="0">
  <autoFilter ref="A5360:F53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6.xml><?xml version="1.0" encoding="utf-8"?>
<table xmlns="http://schemas.openxmlformats.org/spreadsheetml/2006/main" id="206" name="Table3148207" displayName="Table3148207" ref="A5388:F5390" totalsRowShown="0">
  <autoFilter ref="A5388:F5390"/>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7.xml><?xml version="1.0" encoding="utf-8"?>
<table xmlns="http://schemas.openxmlformats.org/spreadsheetml/2006/main" id="207" name="Table3149208" displayName="Table3149208" ref="A5400:F5401" totalsRowShown="0">
  <autoFilter ref="A5400:F54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8.xml><?xml version="1.0" encoding="utf-8"?>
<table xmlns="http://schemas.openxmlformats.org/spreadsheetml/2006/main" id="208" name="Table3150209" displayName="Table3150209" ref="A5411:F5429" totalsRowShown="0">
  <autoFilter ref="A5411:F54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40" dataCellStyle="ArticleBody"/>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9.xml><?xml version="1.0" encoding="utf-8"?>
<table xmlns="http://schemas.openxmlformats.org/spreadsheetml/2006/main" id="209" name="Table3151210" displayName="Table3151210" ref="A5439:F5440" totalsRowShown="0">
  <autoFilter ref="A5439:F54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1" name="Table368" displayName="Table368" ref="A2632:F2633" totalsRowShown="0">
  <autoFilter ref="A2632:F2633"/>
  <tableColumns count="6">
    <tableColumn id="1" name="CÓDIGO CATÁLOGO" dataDxfId="9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0.xml><?xml version="1.0" encoding="utf-8"?>
<table xmlns="http://schemas.openxmlformats.org/spreadsheetml/2006/main" id="210" name="Table3152211" displayName="Table3152211" ref="A5450:F5468" totalsRowShown="0">
  <autoFilter ref="A5450:F5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8" dataCellStyle="ArticleBody"/>
    <tableColumn id="5" name="PRECIO UNITARIO ESTIMADO" dataDxfId="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1.xml><?xml version="1.0" encoding="utf-8"?>
<table xmlns="http://schemas.openxmlformats.org/spreadsheetml/2006/main" id="211" name="Table3153212" displayName="Table3153212" ref="A5478:F5479" totalsRowShown="0">
  <autoFilter ref="A5478:F54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2.xml><?xml version="1.0" encoding="utf-8"?>
<table xmlns="http://schemas.openxmlformats.org/spreadsheetml/2006/main" id="212" name="Table3154213" displayName="Table3154213" ref="A5489:F5507" totalsRowShown="0">
  <autoFilter ref="A5489:F5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6" dataCellStyle="ArticleBody"/>
    <tableColumn id="5" name="PRECIO UNITARIO ESTIMADO" dataDxfId="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3.xml><?xml version="1.0" encoding="utf-8"?>
<table xmlns="http://schemas.openxmlformats.org/spreadsheetml/2006/main" id="213" name="Table3155214" displayName="Table3155214" ref="A5517:F5519" totalsRowShown="0">
  <autoFilter ref="A5517:F5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4.xml><?xml version="1.0" encoding="utf-8"?>
<table xmlns="http://schemas.openxmlformats.org/spreadsheetml/2006/main" id="214" name="Table3156215" displayName="Table3156215" ref="A5529:F5530" totalsRowShown="0">
  <autoFilter ref="A5529:F5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5.xml><?xml version="1.0" encoding="utf-8"?>
<table xmlns="http://schemas.openxmlformats.org/spreadsheetml/2006/main" id="215" name="Table3157216" displayName="Table3157216" ref="A5540:F5558" totalsRowShown="0">
  <autoFilter ref="A5540:F55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6.xml><?xml version="1.0" encoding="utf-8"?>
<table xmlns="http://schemas.openxmlformats.org/spreadsheetml/2006/main" id="216" name="Table3158217" displayName="Table3158217" ref="A5568:F5569" totalsRowShown="0">
  <autoFilter ref="A5568:F5569"/>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7.xml><?xml version="1.0" encoding="utf-8"?>
<table xmlns="http://schemas.openxmlformats.org/spreadsheetml/2006/main" id="217" name="Table348218" displayName="Table348218" ref="A5579:F5582" totalsRowShown="0">
  <autoFilter ref="A5579:F5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8.xml><?xml version="1.0" encoding="utf-8"?>
<table xmlns="http://schemas.openxmlformats.org/spreadsheetml/2006/main" id="218" name="Table349219" displayName="Table349219" ref="A5592:F5594" totalsRowShown="0">
  <autoFilter ref="A5592:F55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9.xml><?xml version="1.0" encoding="utf-8"?>
<table xmlns="http://schemas.openxmlformats.org/spreadsheetml/2006/main" id="219" name="Table350220" displayName="Table350220" ref="A5604:F5605" totalsRowShown="0">
  <autoFilter ref="A5604:F56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2" name="Table369" displayName="Table369" ref="A2643:F2645" totalsRowShown="0">
  <autoFilter ref="A2643:F2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0.xml><?xml version="1.0" encoding="utf-8"?>
<table xmlns="http://schemas.openxmlformats.org/spreadsheetml/2006/main" id="220" name="Table351221" displayName="Table351221" ref="A5615:F5674" totalsRowShown="0">
  <autoFilter ref="A5615:F56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1.xml><?xml version="1.0" encoding="utf-8"?>
<table xmlns="http://schemas.openxmlformats.org/spreadsheetml/2006/main" id="221" name="Table352222" displayName="Table352222" ref="A5684:F5697" totalsRowShown="0">
  <autoFilter ref="A5684:F56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2.xml><?xml version="1.0" encoding="utf-8"?>
<table xmlns="http://schemas.openxmlformats.org/spreadsheetml/2006/main" id="222" name="Table353223" displayName="Table353223" ref="A5707:F5709" totalsRowShown="0">
  <autoFilter ref="A5707:F57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3.xml><?xml version="1.0" encoding="utf-8"?>
<table xmlns="http://schemas.openxmlformats.org/spreadsheetml/2006/main" id="223" name="Table354224" displayName="Table354224" ref="A5719:F5722" totalsRowShown="0">
  <autoFilter ref="A5719:F57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4.xml><?xml version="1.0" encoding="utf-8"?>
<table xmlns="http://schemas.openxmlformats.org/spreadsheetml/2006/main" id="224" name="Table355225" displayName="Table355225" ref="A5732:F5733" totalsRowShown="0">
  <autoFilter ref="A5732:F57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5.xml><?xml version="1.0" encoding="utf-8"?>
<table xmlns="http://schemas.openxmlformats.org/spreadsheetml/2006/main" id="225" name="Table356226" displayName="Table356226" ref="A5743:F5746" totalsRowShown="0">
  <autoFilter ref="A5743:F57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6.xml><?xml version="1.0" encoding="utf-8"?>
<table xmlns="http://schemas.openxmlformats.org/spreadsheetml/2006/main" id="226" name="Table357227" displayName="Table357227" ref="A5756:F5758" totalsRowShown="0">
  <autoFilter ref="A5756:F57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7.xml><?xml version="1.0" encoding="utf-8"?>
<table xmlns="http://schemas.openxmlformats.org/spreadsheetml/2006/main" id="227" name="Table358228" displayName="Table358228" ref="A5768:F5770" totalsRowShown="0">
  <autoFilter ref="A5768:F57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8.xml><?xml version="1.0" encoding="utf-8"?>
<table xmlns="http://schemas.openxmlformats.org/spreadsheetml/2006/main" id="228" name="Table359229" displayName="Table359229" ref="A5780:F5781" totalsRowShown="0">
  <autoFilter ref="A5780:F57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9.xml><?xml version="1.0" encoding="utf-8"?>
<table xmlns="http://schemas.openxmlformats.org/spreadsheetml/2006/main" id="229" name="Table360230" displayName="Table360230" ref="A5791:F5793" totalsRowShown="0">
  <autoFilter ref="A5791:F57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3" name="Table370" displayName="Table370" ref="A2655:F2656" totalsRowShown="0">
  <autoFilter ref="A2655:F26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0.xml><?xml version="1.0" encoding="utf-8"?>
<table xmlns="http://schemas.openxmlformats.org/spreadsheetml/2006/main" id="230" name="Table361231" displayName="Table361231" ref="A5803:F5810" totalsRowShown="0">
  <autoFilter ref="A5803:F58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1.xml><?xml version="1.0" encoding="utf-8"?>
<table xmlns="http://schemas.openxmlformats.org/spreadsheetml/2006/main" id="231" name="Table362232" displayName="Table362232" ref="A5820:F5821" totalsRowShown="0">
  <autoFilter ref="A5820:F58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2.xml><?xml version="1.0" encoding="utf-8"?>
<table xmlns="http://schemas.openxmlformats.org/spreadsheetml/2006/main" id="232" name="Table363233" displayName="Table363233" ref="A5831:F5832" totalsRowShown="0">
  <autoFilter ref="A5831:F5832"/>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3.xml><?xml version="1.0" encoding="utf-8"?>
<table xmlns="http://schemas.openxmlformats.org/spreadsheetml/2006/main" id="233" name="Table364234" displayName="Table364234" ref="A5842:F5843" totalsRowShown="0">
  <autoFilter ref="A5842:F5843"/>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4.xml><?xml version="1.0" encoding="utf-8"?>
<table xmlns="http://schemas.openxmlformats.org/spreadsheetml/2006/main" id="234" name="Table365235" displayName="Table365235" ref="A5853:F5854" totalsRowShown="0">
  <autoFilter ref="A5853:F5854"/>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5.xml><?xml version="1.0" encoding="utf-8"?>
<table xmlns="http://schemas.openxmlformats.org/spreadsheetml/2006/main" id="235" name="Table366236" displayName="Table366236" ref="A5864:F5865" totalsRowShown="0">
  <autoFilter ref="A5864:F5865"/>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6.xml><?xml version="1.0" encoding="utf-8"?>
<table xmlns="http://schemas.openxmlformats.org/spreadsheetml/2006/main" id="236" name="Table367237" displayName="Table367237" ref="A5875:F5876" totalsRowShown="0">
  <autoFilter ref="A5875:F5876"/>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7.xml><?xml version="1.0" encoding="utf-8"?>
<table xmlns="http://schemas.openxmlformats.org/spreadsheetml/2006/main" id="237" name="Table368238" displayName="Table368238" ref="A5886:F5887" totalsRowShown="0">
  <autoFilter ref="A5886:F5887"/>
  <tableColumns count="6">
    <tableColumn id="1" name="CÓDIGO CATÁLOGO" dataDxfId="2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8.xml><?xml version="1.0" encoding="utf-8"?>
<table xmlns="http://schemas.openxmlformats.org/spreadsheetml/2006/main" id="238" name="Table369239" displayName="Table369239" ref="A5897:F5899" totalsRowShown="0">
  <autoFilter ref="A5897:F58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9.xml><?xml version="1.0" encoding="utf-8"?>
<table xmlns="http://schemas.openxmlformats.org/spreadsheetml/2006/main" id="239" name="Table370240" displayName="Table370240" ref="A5909:F5910" totalsRowShown="0">
  <autoFilter ref="A5909:F59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4" name="Table371" displayName="Table371" ref="A2666:F2667" totalsRowShown="0">
  <autoFilter ref="A2666:F2667"/>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0.xml><?xml version="1.0" encoding="utf-8"?>
<table xmlns="http://schemas.openxmlformats.org/spreadsheetml/2006/main" id="240" name="Table371241" displayName="Table371241" ref="A5920:F5921" totalsRowShown="0">
  <autoFilter ref="A5920:F5921"/>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1.xml><?xml version="1.0" encoding="utf-8"?>
<table xmlns="http://schemas.openxmlformats.org/spreadsheetml/2006/main" id="241" name="Table372242" displayName="Table372242" ref="A5931:F5932" totalsRowShown="0">
  <autoFilter ref="A5931:F5932"/>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2.xml><?xml version="1.0" encoding="utf-8"?>
<table xmlns="http://schemas.openxmlformats.org/spreadsheetml/2006/main" id="242" name="Table373243" displayName="Table373243" ref="A5942:F5943" totalsRowShown="0">
  <autoFilter ref="A5942:F5943"/>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3.xml><?xml version="1.0" encoding="utf-8"?>
<table xmlns="http://schemas.openxmlformats.org/spreadsheetml/2006/main" id="243" name="Table374244" displayName="Table374244" ref="A5953:F5954" totalsRowShown="0">
  <autoFilter ref="A5953:F59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4.xml><?xml version="1.0" encoding="utf-8"?>
<table xmlns="http://schemas.openxmlformats.org/spreadsheetml/2006/main" id="244" name="Table375245" displayName="Table375245" ref="A5964:F5966" totalsRowShown="0">
  <autoFilter ref="A5964:F59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5.xml><?xml version="1.0" encoding="utf-8"?>
<table xmlns="http://schemas.openxmlformats.org/spreadsheetml/2006/main" id="245" name="Table376246" displayName="Table376246" ref="A5976:F5977" totalsRowShown="0">
  <autoFilter ref="A5976:F5977"/>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6.xml><?xml version="1.0" encoding="utf-8"?>
<table xmlns="http://schemas.openxmlformats.org/spreadsheetml/2006/main" id="246" name="Table377247" displayName="Table377247" ref="A5987:F5988" totalsRowShown="0">
  <autoFilter ref="A5987:F59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7.xml><?xml version="1.0" encoding="utf-8"?>
<table xmlns="http://schemas.openxmlformats.org/spreadsheetml/2006/main" id="247" name="Table378248" displayName="Table378248" ref="A5998:F6006" totalsRowShown="0">
  <autoFilter ref="A5998:F60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8.xml><?xml version="1.0" encoding="utf-8"?>
<table xmlns="http://schemas.openxmlformats.org/spreadsheetml/2006/main" id="248" name="Table379249" displayName="Table379249" ref="A6016:F6017" totalsRowShown="0">
  <autoFilter ref="A6016:F60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9.xml><?xml version="1.0" encoding="utf-8"?>
<table xmlns="http://schemas.openxmlformats.org/spreadsheetml/2006/main" id="249" name="Table380250" displayName="Table380250" ref="A6027:F6028" totalsRowShown="0">
  <autoFilter ref="A6027:F60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5" name="Table372" displayName="Table372" ref="A2677:F2678" totalsRowShown="0">
  <autoFilter ref="A2677:F2678"/>
  <tableColumns count="6">
    <tableColumn id="1" name="CÓDIGO CATÁLOGO" dataDxfId="8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0.xml><?xml version="1.0" encoding="utf-8"?>
<table xmlns="http://schemas.openxmlformats.org/spreadsheetml/2006/main" id="250" name="Table381251" displayName="Table381251" ref="A6038:F6039" totalsRowShown="0">
  <autoFilter ref="A6038:F6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1.xml><?xml version="1.0" encoding="utf-8"?>
<table xmlns="http://schemas.openxmlformats.org/spreadsheetml/2006/main" id="251" name="Table382252" displayName="Table382252" ref="A6049:F6050" totalsRowShown="0">
  <autoFilter ref="A6049:F60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2.xml><?xml version="1.0" encoding="utf-8"?>
<table xmlns="http://schemas.openxmlformats.org/spreadsheetml/2006/main" id="252" name="Table383253" displayName="Table383253" ref="A6060:F6063" totalsRowShown="0">
  <autoFilter ref="A6060:F60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3.xml><?xml version="1.0" encoding="utf-8"?>
<table xmlns="http://schemas.openxmlformats.org/spreadsheetml/2006/main" id="253" name="Table384254" displayName="Table384254" ref="A6073:F6095" totalsRowShown="0">
  <autoFilter ref="A6073:F6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4.xml><?xml version="1.0" encoding="utf-8"?>
<table xmlns="http://schemas.openxmlformats.org/spreadsheetml/2006/main" id="254" name="Table385255" displayName="Table385255" ref="A6105:F6106" totalsRowShown="0">
  <autoFilter ref="A6105:F6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5.xml><?xml version="1.0" encoding="utf-8"?>
<table xmlns="http://schemas.openxmlformats.org/spreadsheetml/2006/main" id="255" name="Table386256" displayName="Table386256" ref="A6116:F6117" totalsRowShown="0">
  <autoFilter ref="A6116:F6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6.xml><?xml version="1.0" encoding="utf-8"?>
<table xmlns="http://schemas.openxmlformats.org/spreadsheetml/2006/main" id="256" name="Table387257" displayName="Table387257" ref="A6127:F6128" totalsRowShown="0">
  <autoFilter ref="A6127:F61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7.xml><?xml version="1.0" encoding="utf-8"?>
<table xmlns="http://schemas.openxmlformats.org/spreadsheetml/2006/main" id="257" name="Table388258" displayName="Table388258" ref="A6138:F6140" totalsRowShown="0">
  <autoFilter ref="A6138:F61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8.xml><?xml version="1.0" encoding="utf-8"?>
<table xmlns="http://schemas.openxmlformats.org/spreadsheetml/2006/main" id="258" name="Table389259" displayName="Table389259" ref="A6150:F6151" totalsRowShown="0">
  <autoFilter ref="A6150:F61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9.xml><?xml version="1.0" encoding="utf-8"?>
<table xmlns="http://schemas.openxmlformats.org/spreadsheetml/2006/main" id="259" name="Table390260" displayName="Table390260" ref="A6161:F6162" totalsRowShown="0">
  <autoFilter ref="A6161:F61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6" name="Table373" displayName="Table373" ref="A2688:F2689" totalsRowShown="0">
  <autoFilter ref="A2688:F2689"/>
  <tableColumns count="6">
    <tableColumn id="1" name="CÓDIGO CATÁLOGO" dataDxfId="8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0.xml><?xml version="1.0" encoding="utf-8"?>
<table xmlns="http://schemas.openxmlformats.org/spreadsheetml/2006/main" id="260" name="Table391261" displayName="Table391261" ref="A6172:F6173" totalsRowShown="0">
  <autoFilter ref="A6172:F6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1.xml><?xml version="1.0" encoding="utf-8"?>
<table xmlns="http://schemas.openxmlformats.org/spreadsheetml/2006/main" id="261" name="Table392262" displayName="Table392262" ref="A6183:F6199" totalsRowShown="0">
  <autoFilter ref="A6183:F61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2.xml><?xml version="1.0" encoding="utf-8"?>
<table xmlns="http://schemas.openxmlformats.org/spreadsheetml/2006/main" id="262" name="Table393263" displayName="Table393263" ref="A6209:F6220" totalsRowShown="0">
  <autoFilter ref="A6209:F62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3.xml><?xml version="1.0" encoding="utf-8"?>
<table xmlns="http://schemas.openxmlformats.org/spreadsheetml/2006/main" id="263" name="Table394264" displayName="Table394264" ref="A6230:F6232" totalsRowShown="0">
  <autoFilter ref="A6230:F62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4.xml><?xml version="1.0" encoding="utf-8"?>
<table xmlns="http://schemas.openxmlformats.org/spreadsheetml/2006/main" id="264" name="Table395265" displayName="Table395265" ref="A6242:F6244" totalsRowShown="0">
  <autoFilter ref="A6242:F6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5.xml><?xml version="1.0" encoding="utf-8"?>
<table xmlns="http://schemas.openxmlformats.org/spreadsheetml/2006/main" id="265" name="Table396266" displayName="Table396266" ref="A6254:F6255" totalsRowShown="0">
  <autoFilter ref="A6254:F62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6.xml><?xml version="1.0" encoding="utf-8"?>
<table xmlns="http://schemas.openxmlformats.org/spreadsheetml/2006/main" id="266" name="Table397267" displayName="Table397267" ref="A6265:F6266" totalsRowShown="0">
  <autoFilter ref="A6265:F62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7.xml><?xml version="1.0" encoding="utf-8"?>
<table xmlns="http://schemas.openxmlformats.org/spreadsheetml/2006/main" id="267" name="Table398268" displayName="Table398268" ref="A6276:F6277" totalsRowShown="0">
  <autoFilter ref="A6276:F62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8.xml><?xml version="1.0" encoding="utf-8"?>
<table xmlns="http://schemas.openxmlformats.org/spreadsheetml/2006/main" id="268" name="Table399269" displayName="Table399269" ref="A6287:F6288" totalsRowShown="0">
  <autoFilter ref="A6287:F62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9.xml><?xml version="1.0" encoding="utf-8"?>
<table xmlns="http://schemas.openxmlformats.org/spreadsheetml/2006/main" id="269" name="Table3100270" displayName="Table3100270" ref="A6298:F6299" totalsRowShown="0">
  <autoFilter ref="A6298:F6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7" name="Table374" displayName="Table374" ref="A2699:F2700" totalsRowShown="0">
  <autoFilter ref="A2699:F27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0.xml><?xml version="1.0" encoding="utf-8"?>
<table xmlns="http://schemas.openxmlformats.org/spreadsheetml/2006/main" id="270" name="Table3101271" displayName="Table3101271" ref="A6309:F6312" totalsRowShown="0">
  <autoFilter ref="A6309:F6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1.xml><?xml version="1.0" encoding="utf-8"?>
<table xmlns="http://schemas.openxmlformats.org/spreadsheetml/2006/main" id="271" name="Table3102272" displayName="Table3102272" ref="A6322:F6323" totalsRowShown="0">
  <autoFilter ref="A6322:F63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2.xml><?xml version="1.0" encoding="utf-8"?>
<table xmlns="http://schemas.openxmlformats.org/spreadsheetml/2006/main" id="272" name="Table3103273" displayName="Table3103273" ref="A6333:F6334" totalsRowShown="0">
  <autoFilter ref="A6333:F63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3.xml><?xml version="1.0" encoding="utf-8"?>
<table xmlns="http://schemas.openxmlformats.org/spreadsheetml/2006/main" id="273" name="Table3104274" displayName="Table3104274" ref="A6344:F6345" totalsRowShown="0">
  <autoFilter ref="A6344:F6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4.xml><?xml version="1.0" encoding="utf-8"?>
<table xmlns="http://schemas.openxmlformats.org/spreadsheetml/2006/main" id="274" name="Table3105275" displayName="Table3105275" ref="A6355:F6359" totalsRowShown="0">
  <autoFilter ref="A6355:F63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5.xml><?xml version="1.0" encoding="utf-8"?>
<table xmlns="http://schemas.openxmlformats.org/spreadsheetml/2006/main" id="275" name="Table3106276" displayName="Table3106276" ref="A6369:F6370" totalsRowShown="0">
  <autoFilter ref="A6369:F63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6.xml><?xml version="1.0" encoding="utf-8"?>
<table xmlns="http://schemas.openxmlformats.org/spreadsheetml/2006/main" id="276" name="Table3107277" displayName="Table3107277" ref="A6380:F6381" totalsRowShown="0">
  <autoFilter ref="A6380:F6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7.xml><?xml version="1.0" encoding="utf-8"?>
<table xmlns="http://schemas.openxmlformats.org/spreadsheetml/2006/main" id="277" name="Table3108278" displayName="Table3108278" ref="A6391:F6392" totalsRowShown="0">
  <autoFilter ref="A6391:F6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8.xml><?xml version="1.0" encoding="utf-8"?>
<table xmlns="http://schemas.openxmlformats.org/spreadsheetml/2006/main" id="278" name="Table3109279" displayName="Table3109279" ref="A6402:F6413" totalsRowShown="0">
  <autoFilter ref="A6402:F64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9.xml><?xml version="1.0" encoding="utf-8"?>
<table xmlns="http://schemas.openxmlformats.org/spreadsheetml/2006/main" id="279" name="Table3110280" displayName="Table3110280" ref="A6423:F6424" totalsRowShown="0">
  <autoFilter ref="A6423:F6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8" name="Table375" displayName="Table375" ref="A2710:F2712" totalsRowShown="0">
  <autoFilter ref="A2710:F2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0.xml><?xml version="1.0" encoding="utf-8"?>
<table xmlns="http://schemas.openxmlformats.org/spreadsheetml/2006/main" id="280" name="Table3111281" displayName="Table3111281" ref="A6434:F6441" totalsRowShown="0">
  <autoFilter ref="A6434:F64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1.xml><?xml version="1.0" encoding="utf-8"?>
<table xmlns="http://schemas.openxmlformats.org/spreadsheetml/2006/main" id="281" name="Table3112282" displayName="Table3112282" ref="A6451:F6475" totalsRowShown="0">
  <autoFilter ref="A6451:F64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2.xml><?xml version="1.0" encoding="utf-8"?>
<table xmlns="http://schemas.openxmlformats.org/spreadsheetml/2006/main" id="282" name="Table3113283" displayName="Table3113283" ref="A6485:F6490" totalsRowShown="0">
  <autoFilter ref="A6485:F6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3.xml><?xml version="1.0" encoding="utf-8"?>
<table xmlns="http://schemas.openxmlformats.org/spreadsheetml/2006/main" id="283" name="Table3114284" displayName="Table3114284" ref="A6500:F6503" totalsRowShown="0">
  <autoFilter ref="A6500:F65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4.xml><?xml version="1.0" encoding="utf-8"?>
<table xmlns="http://schemas.openxmlformats.org/spreadsheetml/2006/main" id="284" name="Table3115285" displayName="Table3115285" ref="A6513:F6520" totalsRowShown="0">
  <autoFilter ref="A6513:F6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5.xml><?xml version="1.0" encoding="utf-8"?>
<table xmlns="http://schemas.openxmlformats.org/spreadsheetml/2006/main" id="285" name="Table3116286" displayName="Table3116286" ref="A6530:F6531" totalsRowShown="0">
  <autoFilter ref="A6530:F65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6.xml><?xml version="1.0" encoding="utf-8"?>
<table xmlns="http://schemas.openxmlformats.org/spreadsheetml/2006/main" id="286" name="Table3117287" displayName="Table3117287" ref="A6541:F6543" totalsRowShown="0">
  <autoFilter ref="A6541:F65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7.xml><?xml version="1.0" encoding="utf-8"?>
<table xmlns="http://schemas.openxmlformats.org/spreadsheetml/2006/main" id="287" name="Table3118288" displayName="Table3118288" ref="A6553:F6554" totalsRowShown="0">
  <autoFilter ref="A6553:F6554"/>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8.xml><?xml version="1.0" encoding="utf-8"?>
<table xmlns="http://schemas.openxmlformats.org/spreadsheetml/2006/main" id="288" name="Table3119289" displayName="Table3119289" ref="A6564:F6565" totalsRowShown="0">
  <autoFilter ref="A6564:F65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9.xml><?xml version="1.0" encoding="utf-8"?>
<table xmlns="http://schemas.openxmlformats.org/spreadsheetml/2006/main" id="289" name="Table3120290" displayName="Table3120290" ref="A6575:F6576" totalsRowShown="0">
  <autoFilter ref="A6575:F6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29" name="Table376" displayName="Table376" ref="A2722:F2723" totalsRowShown="0">
  <autoFilter ref="A2722:F2723"/>
  <tableColumns count="6">
    <tableColumn id="1" name="CÓDIGO CATÁLOGO" dataDxfId="8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0.xml><?xml version="1.0" encoding="utf-8"?>
<table xmlns="http://schemas.openxmlformats.org/spreadsheetml/2006/main" id="290" name="Table3121291" displayName="Table3121291" ref="A6586:F6587" totalsRowShown="0">
  <autoFilter ref="A6586:F65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1.xml><?xml version="1.0" encoding="utf-8"?>
<table xmlns="http://schemas.openxmlformats.org/spreadsheetml/2006/main" id="291" name="Table3122292" displayName="Table3122292" ref="A6597:F6611" totalsRowShown="0">
  <autoFilter ref="A6597:F66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2.xml><?xml version="1.0" encoding="utf-8"?>
<table xmlns="http://schemas.openxmlformats.org/spreadsheetml/2006/main" id="292" name="Table3125293" displayName="Table3125293" ref="A6621:F6625" totalsRowShown="0">
  <autoFilter ref="A6621:F66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3.xml><?xml version="1.0" encoding="utf-8"?>
<table xmlns="http://schemas.openxmlformats.org/spreadsheetml/2006/main" id="293" name="Table3126294" displayName="Table3126294" ref="A6635:F6649" totalsRowShown="0">
  <autoFilter ref="A6635:F66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4.xml><?xml version="1.0" encoding="utf-8"?>
<table xmlns="http://schemas.openxmlformats.org/spreadsheetml/2006/main" id="294" name="Table3127295" displayName="Table3127295" ref="A6659:F6661" totalsRowShown="0">
  <autoFilter ref="A6659:F66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5.xml><?xml version="1.0" encoding="utf-8"?>
<table xmlns="http://schemas.openxmlformats.org/spreadsheetml/2006/main" id="295" name="Table3128296" displayName="Table3128296" ref="A6671:F6685" totalsRowShown="0">
  <autoFilter ref="A6671:F6685"/>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6.xml><?xml version="1.0" encoding="utf-8"?>
<table xmlns="http://schemas.openxmlformats.org/spreadsheetml/2006/main" id="296" name="Table3129297" displayName="Table3129297" ref="A6695:F6703" totalsRowShown="0">
  <autoFilter ref="A6695:F67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7.xml><?xml version="1.0" encoding="utf-8"?>
<table xmlns="http://schemas.openxmlformats.org/spreadsheetml/2006/main" id="297" name="Table3130298" displayName="Table3130298" ref="A6713:F6727" totalsRowShown="0">
  <autoFilter ref="A6713:F67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8.xml><?xml version="1.0" encoding="utf-8"?>
<table xmlns="http://schemas.openxmlformats.org/spreadsheetml/2006/main" id="298" name="Table3131299" displayName="Table3131299" ref="A6737:F6748" totalsRowShown="0">
  <autoFilter ref="A6737:F67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9.xml><?xml version="1.0" encoding="utf-8"?>
<table xmlns="http://schemas.openxmlformats.org/spreadsheetml/2006/main" id="299" name="Table3132300" displayName="Table3132300" ref="A6758:F6759" totalsRowShown="0">
  <autoFilter ref="A6758:F67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3" name="Table350" displayName="Table350" ref="A2350:F2351" totalsRowShown="0">
  <autoFilter ref="A2350:F23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0" name="Table377" displayName="Table377" ref="A2733:F2734" totalsRowShown="0">
  <autoFilter ref="A2733:F27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0.xml><?xml version="1.0" encoding="utf-8"?>
<table xmlns="http://schemas.openxmlformats.org/spreadsheetml/2006/main" id="300" name="Table3133301" displayName="Table3133301" ref="A6769:F6780" totalsRowShown="0">
  <autoFilter ref="A6769:F6780"/>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1.xml><?xml version="1.0" encoding="utf-8"?>
<table xmlns="http://schemas.openxmlformats.org/spreadsheetml/2006/main" id="301" name="Table3134302" displayName="Table3134302" ref="A6790:F6804" totalsRowShown="0">
  <autoFilter ref="A6790:F68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2.xml><?xml version="1.0" encoding="utf-8"?>
<table xmlns="http://schemas.openxmlformats.org/spreadsheetml/2006/main" id="302" name="Table3135303" displayName="Table3135303" ref="A6814:F6815" totalsRowShown="0">
  <autoFilter ref="A6814:F6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3.xml><?xml version="1.0" encoding="utf-8"?>
<table xmlns="http://schemas.openxmlformats.org/spreadsheetml/2006/main" id="303" name="Table3136304" displayName="Table3136304" ref="A6825:F6826" totalsRowShown="0">
  <autoFilter ref="A6825:F68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4.xml><?xml version="1.0" encoding="utf-8"?>
<table xmlns="http://schemas.openxmlformats.org/spreadsheetml/2006/main" id="304" name="Table3137305" displayName="Table3137305" ref="A6836:F6847" totalsRowShown="0">
  <autoFilter ref="A6836:F68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4" dataCellStyle="ArticleBody"/>
    <tableColumn id="5" name="PRECIO UNITARIO ESTIMADO" dataDxfId="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5.xml><?xml version="1.0" encoding="utf-8"?>
<table xmlns="http://schemas.openxmlformats.org/spreadsheetml/2006/main" id="305" name="Table3138306" displayName="Table3138306" ref="A6857:F6858" totalsRowShown="0">
  <autoFilter ref="A6857:F68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6.xml><?xml version="1.0" encoding="utf-8"?>
<table xmlns="http://schemas.openxmlformats.org/spreadsheetml/2006/main" id="306" name="Table3139307" displayName="Table3139307" ref="A6868:F6869" totalsRowShown="0">
  <autoFilter ref="A6868:F68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7.xml><?xml version="1.0" encoding="utf-8"?>
<table xmlns="http://schemas.openxmlformats.org/spreadsheetml/2006/main" id="307" name="Table3140308" displayName="Table3140308" ref="A6879:F6893" totalsRowShown="0">
  <autoFilter ref="A6879:F68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8.xml><?xml version="1.0" encoding="utf-8"?>
<table xmlns="http://schemas.openxmlformats.org/spreadsheetml/2006/main" id="308" name="Table3141309" displayName="Table3141309" ref="A6903:F6905" totalsRowShown="0">
  <autoFilter ref="A6903:F69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9.xml><?xml version="1.0" encoding="utf-8"?>
<table xmlns="http://schemas.openxmlformats.org/spreadsheetml/2006/main" id="309" name="Table3142310" displayName="Table3142310" ref="A6915:F6916" totalsRowShown="0">
  <autoFilter ref="A6915:F69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1" name="Table378" displayName="Table378" ref="A2744:F2752" totalsRowShown="0">
  <autoFilter ref="A2744:F27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0.xml><?xml version="1.0" encoding="utf-8"?>
<table xmlns="http://schemas.openxmlformats.org/spreadsheetml/2006/main" id="310" name="Table3143311" displayName="Table3143311" ref="A6926:F6937" totalsRowShown="0">
  <autoFilter ref="A6926:F69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1.xml><?xml version="1.0" encoding="utf-8"?>
<table xmlns="http://schemas.openxmlformats.org/spreadsheetml/2006/main" id="311" name="Table3145312" displayName="Table3145312" ref="A6947:F6965" totalsRowShown="0">
  <autoFilter ref="A6947:F69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2.xml><?xml version="1.0" encoding="utf-8"?>
<table xmlns="http://schemas.openxmlformats.org/spreadsheetml/2006/main" id="312" name="Table3146313" displayName="Table3146313" ref="A6975:F6977" totalsRowShown="0">
  <autoFilter ref="A6975:F6977"/>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3.xml><?xml version="1.0" encoding="utf-8"?>
<table xmlns="http://schemas.openxmlformats.org/spreadsheetml/2006/main" id="313" name="Table3147314" displayName="Table3147314" ref="A6987:F7005" totalsRowShown="0">
  <autoFilter ref="A6987:F7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4.xml><?xml version="1.0" encoding="utf-8"?>
<table xmlns="http://schemas.openxmlformats.org/spreadsheetml/2006/main" id="314" name="Table3148315" displayName="Table3148315" ref="A7015:F7017" totalsRowShown="0">
  <autoFilter ref="A7015:F7017"/>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5.xml><?xml version="1.0" encoding="utf-8"?>
<table xmlns="http://schemas.openxmlformats.org/spreadsheetml/2006/main" id="315" name="Table3149316" displayName="Table3149316" ref="A7027:F7028" totalsRowShown="0">
  <autoFilter ref="A7027:F70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6.xml><?xml version="1.0" encoding="utf-8"?>
<table xmlns="http://schemas.openxmlformats.org/spreadsheetml/2006/main" id="316" name="Table3150317" displayName="Table3150317" ref="A7038:F7056" totalsRowShown="0">
  <autoFilter ref="A7038:F70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8" dataCellStyle="ArticleBody"/>
    <tableColumn id="5" name="PRECIO UNITARIO ESTIMADO" dataDxfId="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7.xml><?xml version="1.0" encoding="utf-8"?>
<table xmlns="http://schemas.openxmlformats.org/spreadsheetml/2006/main" id="317" name="Table3151318" displayName="Table3151318" ref="A7066:F7067" totalsRowShown="0">
  <autoFilter ref="A7066:F70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8.xml><?xml version="1.0" encoding="utf-8"?>
<table xmlns="http://schemas.openxmlformats.org/spreadsheetml/2006/main" id="318" name="Table3152319" displayName="Table3152319" ref="A7077:F7095" totalsRowShown="0">
  <autoFilter ref="A7077:F7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9.xml><?xml version="1.0" encoding="utf-8"?>
<table xmlns="http://schemas.openxmlformats.org/spreadsheetml/2006/main" id="319" name="Table3153320" displayName="Table3153320" ref="A7105:F7106" totalsRowShown="0">
  <autoFilter ref="A7105:F7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2" name="Table379" displayName="Table379" ref="A2762:F2763" totalsRowShown="0">
  <autoFilter ref="A2762:F27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0.xml><?xml version="1.0" encoding="utf-8"?>
<table xmlns="http://schemas.openxmlformats.org/spreadsheetml/2006/main" id="320" name="Table3154321" displayName="Table3154321" ref="A7116:F7134" totalsRowShown="0">
  <autoFilter ref="A7116:F71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1.xml><?xml version="1.0" encoding="utf-8"?>
<table xmlns="http://schemas.openxmlformats.org/spreadsheetml/2006/main" id="321" name="Table3155322" displayName="Table3155322" ref="A7144:F7146" totalsRowShown="0">
  <autoFilter ref="A7144:F71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2.xml><?xml version="1.0" encoding="utf-8"?>
<table xmlns="http://schemas.openxmlformats.org/spreadsheetml/2006/main" id="322" name="Table3156323" displayName="Table3156323" ref="A7156:F7157" totalsRowShown="0">
  <autoFilter ref="A7156:F71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3.xml><?xml version="1.0" encoding="utf-8"?>
<table xmlns="http://schemas.openxmlformats.org/spreadsheetml/2006/main" id="323" name="Table3157324" displayName="Table3157324" ref="A7167:F7185" totalsRowShown="0">
  <autoFilter ref="A7167:F71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4.xml><?xml version="1.0" encoding="utf-8"?>
<table xmlns="http://schemas.openxmlformats.org/spreadsheetml/2006/main" id="324" name="Table3158325" displayName="Table3158325" ref="A7195:F7196" totalsRowShown="0">
  <autoFilter ref="A7195:F7196"/>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5.xml><?xml version="1.0" encoding="utf-8"?>
<table xmlns="http://schemas.openxmlformats.org/spreadsheetml/2006/main" id="325" name="Table4" displayName="Table4" ref="A22:F23" totalsRowShown="0">
  <tableColumns count="6">
    <tableColumn id="1" name="CÓDIGO CATÁLOGO"/>
    <tableColumn id="2" name="ARTÍCULO">
      <calculatedColumnFormula>IFERROR(INDEX(UNSPSCDes,MATCH(INDIRECT(ADDRESS(ROW(),COLUMN()-1,4)),UNSPSCCode,0)),IF(INDIRECT(ADDRESS(ROW(),COLUMN()-1,4))="24112702","Tarima de plástico",""))</calculatedColumnFormula>
    </tableColumn>
    <tableColumn id="3" name="UNIDAD DE MEDIDA">
      <calculatedColumnFormula>IFERROR(VLOOKUP("UD",'[4]Informacion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3" name="Table380" displayName="Table380" ref="A2773:F2774" totalsRowShown="0">
  <autoFilter ref="A2773:F27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4" name="Table381" displayName="Table381" ref="A2784:F2785" totalsRowShown="0">
  <autoFilter ref="A2784:F27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5" name="Table382" displayName="Table382" ref="A2795:F2796" totalsRowShown="0">
  <autoFilter ref="A2795:F27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6" name="Table383" displayName="Table383" ref="A2806:F2809" totalsRowShown="0">
  <autoFilter ref="A2806:F28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7" name="Table384" displayName="Table384" ref="A2819:F2841" totalsRowShown="0">
  <autoFilter ref="A2819:F28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8" name="Table385" displayName="Table385" ref="A2851:F2852" totalsRowShown="0">
  <autoFilter ref="A2851:F28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39" name="Table386" displayName="Table386" ref="A2862:F2863" totalsRowShown="0">
  <autoFilter ref="A2862:F28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4" name="Table351" displayName="Table351" ref="A2361:F2420" totalsRowShown="0">
  <autoFilter ref="A2361:F24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0" name="Table387" displayName="Table387" ref="A2873:F2874" totalsRowShown="0">
  <autoFilter ref="A2873:F28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1" name="Table388" displayName="Table388" ref="A2884:F2886" totalsRowShown="0">
  <autoFilter ref="A2884:F28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2" name="Table389" displayName="Table389" ref="A2896:F2897" totalsRowShown="0">
  <autoFilter ref="A2896:F2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3" name="Table390" displayName="Table390" ref="A2907:F2908" totalsRowShown="0">
  <autoFilter ref="A2907:F2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4" name="Table391" displayName="Table391" ref="A2918:F2919" totalsRowShown="0">
  <autoFilter ref="A2918:F29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5" name="Table392" displayName="Table392" ref="A2929:F2945" totalsRowShown="0">
  <autoFilter ref="A2929:F29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6" name="Table393" displayName="Table393" ref="A2955:F2966" totalsRowShown="0">
  <autoFilter ref="A2955:F29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7" name="Table394" displayName="Table394" ref="A2976:F2978" totalsRowShown="0">
  <autoFilter ref="A2976:F29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8" name="Table395" displayName="Table395" ref="A2988:F2990" totalsRowShown="0">
  <autoFilter ref="A2988:F29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49" name="Table396" displayName="Table396" ref="A3000:F3001" totalsRowShown="0">
  <autoFilter ref="A3000:F30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5" name="Table352" displayName="Table352" ref="A2430:F2443" totalsRowShown="0">
  <autoFilter ref="A2430:F24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0" name="Table397" displayName="Table397" ref="A3011:F3012" totalsRowShown="0">
  <autoFilter ref="A3011:F30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1" name="Table398" displayName="Table398" ref="A3022:F3023" totalsRowShown="0">
  <autoFilter ref="A3022:F30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2" name="Table399" displayName="Table399" ref="A3033:F3034" totalsRowShown="0">
  <autoFilter ref="A3033:F30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3" name="Table3100" displayName="Table3100" ref="A3044:F3045" totalsRowShown="0">
  <autoFilter ref="A3044:F30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4" name="Table3101" displayName="Table3101" ref="A3055:F3058" totalsRowShown="0">
  <autoFilter ref="A3055:F30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5" name="Table3102" displayName="Table3102" ref="A3068:F3069" totalsRowShown="0">
  <autoFilter ref="A3068:F30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6" name="Table3103" displayName="Table3103" ref="A3079:F3080" totalsRowShown="0">
  <autoFilter ref="A3079:F30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7" name="Table3104" displayName="Table3104" ref="A3090:F3091" totalsRowShown="0">
  <autoFilter ref="A3090:F30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8" name="Table3105" displayName="Table3105" ref="A3101:F3105" totalsRowShown="0">
  <autoFilter ref="A3101:F31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59" name="Table3106" displayName="Table3106" ref="A3115:F3116" totalsRowShown="0">
  <autoFilter ref="A3115:F31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6" name="Table353" displayName="Table353" ref="A2453:F2455" totalsRowShown="0">
  <autoFilter ref="A2453:F2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0" name="Table3107" displayName="Table3107" ref="A3126:F3127" totalsRowShown="0">
  <autoFilter ref="A3126:F31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1" name="Table3108" displayName="Table3108" ref="A3137:F3138" totalsRowShown="0">
  <autoFilter ref="A3137:F31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2" name="Table3109" displayName="Table3109" ref="A3148:F3159" totalsRowShown="0">
  <autoFilter ref="A3148:F31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3" name="Table3110" displayName="Table3110" ref="A3169:F3170" totalsRowShown="0">
  <autoFilter ref="A3169:F31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4" name="Table3111" displayName="Table3111" ref="A3180:F3187" totalsRowShown="0">
  <autoFilter ref="A3180:F31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5" name="Table3112" displayName="Table3112" ref="A3197:F3221" totalsRowShown="0">
  <autoFilter ref="A3197:F3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6" name="Table3113" displayName="Table3113" ref="A3231:F3236" totalsRowShown="0">
  <autoFilter ref="A3231:F32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7" name="Table3114" displayName="Table3114" ref="A3246:F3249" totalsRowShown="0">
  <autoFilter ref="A3246:F32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8" name="Table3115" displayName="Table3115" ref="A3259:F3266" totalsRowShown="0">
  <autoFilter ref="A3259:F32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69" name="Table3116" displayName="Table3116" ref="A3276:F3277" totalsRowShown="0">
  <autoFilter ref="A3276:F32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7" name="Table354" displayName="Table354" ref="A2465:F2468" totalsRowShown="0">
  <autoFilter ref="A2465:F2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0" name="Table3117" displayName="Table3117" ref="A3287:F3289" totalsRowShown="0">
  <autoFilter ref="A3287:F3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1" name="Table3118" displayName="Table3118" ref="A3299:F3300" totalsRowShown="0">
  <autoFilter ref="A3299:F3300"/>
  <tableColumns count="6">
    <tableColumn id="1" name="CÓDIGO CATÁLOGO" dataDxfId="8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2" name="Table3119" displayName="Table3119" ref="A3310:F3311" totalsRowShown="0">
  <autoFilter ref="A3310:F33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3" name="Table3120" displayName="Table3120" ref="A3321:F3322" totalsRowShown="0">
  <autoFilter ref="A3321:F33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4" name="Table3121" displayName="Table3121" ref="A3332:F3333" totalsRowShown="0">
  <autoFilter ref="A3332:F3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5" name="Table3122" displayName="Table3122" ref="A3343:F3357" totalsRowShown="0">
  <autoFilter ref="A3343:F3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6" name="Table3125" displayName="Table3125" ref="A3367:F3371" totalsRowShown="0">
  <autoFilter ref="A3367:F33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7" name="Table3126" displayName="Table3126" ref="A3381:F3395" totalsRowShown="0">
  <autoFilter ref="A3381:F33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8" name="Table3127" displayName="Table3127" ref="A3405:F3407" totalsRowShown="0">
  <autoFilter ref="A3405:F34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79" name="Table3128" displayName="Table3128" ref="A3417:F3431" totalsRowShown="0">
  <autoFilter ref="A3417:F3431"/>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8" name="Table355" displayName="Table355" ref="A2478:F2479" totalsRowShown="0">
  <autoFilter ref="A2478:F24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0" name="Table3129" displayName="Table3129" ref="A3441:F3449" totalsRowShown="0">
  <autoFilter ref="A3441:F34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1" name="Table3130" displayName="Table3130" ref="A3459:F3473" totalsRowShown="0">
  <autoFilter ref="A3459:F34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2" name="Table3131" displayName="Table3131" ref="A3483:F3494" totalsRowShown="0">
  <autoFilter ref="A3483:F34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3" name="Table3132" displayName="Table3132" ref="A3504:F3505" totalsRowShown="0">
  <autoFilter ref="A3504:F3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4" name="Table3133" displayName="Table3133" ref="A3515:F3526" totalsRowShown="0">
  <autoFilter ref="A3515:F3526"/>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tableColumn id="4" name="CANTIDAD TOTAL ESTIMADA" dataDxfId="81" dataCellStyle="ArticleBody"/>
    <tableColumn id="5" name="PRECIO UNITARIO ESTIMADO" dataDxfId="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5" name="Table3134" displayName="Table3134" ref="A3536:F3550" totalsRowShown="0">
  <autoFilter ref="A3536:F35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6" name="Table3135" displayName="Table3135" ref="A3560:F3561" totalsRowShown="0">
  <autoFilter ref="A3560:F35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7" name="Table3136" displayName="Table3136" ref="A3571:F3572" totalsRowShown="0">
  <autoFilter ref="A3571:F3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8" name="Table3137" displayName="Table3137" ref="A3582:F3593" totalsRowShown="0">
  <autoFilter ref="A3582:F35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8" dataCellStyle="ArticleBody"/>
    <tableColumn id="5" name="PRECIO UNITARIO ESTIMADO" dataDxfId="7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89" name="Table3138" displayName="Table3138" ref="A3603:F3604" totalsRowShown="0">
  <autoFilter ref="A3603:F3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9" name="Table356" displayName="Table356" ref="A2489:F2492" totalsRowShown="0">
  <autoFilter ref="A2489:F24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0" name="Table3139" displayName="Table3139" ref="A3614:F3615" totalsRowShown="0">
  <autoFilter ref="A3614:F36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1" name="Table3140" displayName="Table3140" ref="A3625:F3639" totalsRowShown="0">
  <autoFilter ref="A3625:F36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2" name="Table3141" displayName="Table3141" ref="A3649:F3651" totalsRowShown="0">
  <autoFilter ref="A3649:F36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3" name="Table3142" displayName="Table3142" ref="A3661:F3662" totalsRowShown="0">
  <autoFilter ref="A3661:F36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4" name="Table3143" displayName="Table3143" ref="A3672:F3683" totalsRowShown="0">
  <autoFilter ref="A3672:F36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5" name="Table3145" displayName="Table3145" ref="A3693:F3711" totalsRowShown="0">
  <autoFilter ref="A3693:F37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6" name="Table3146" displayName="Table3146" ref="A3721:F3723" totalsRowShown="0">
  <autoFilter ref="A3721:F3723"/>
  <tableColumns count="6">
    <tableColumn id="1" name="CÓDIGO CATÁLOGO" dataDxfId="7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7" name="Table3147" displayName="Table3147" ref="A3733:F3751" totalsRowShown="0">
  <autoFilter ref="A3733:F37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8" name="Table3148" displayName="Table3148" ref="A3761:F3763" totalsRowShown="0">
  <autoFilter ref="A3761:F3763"/>
  <tableColumns count="6">
    <tableColumn id="1" name="CÓDIGO CATÁLOGO" dataDxfId="7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99" name="Table3149" displayName="Table3149" ref="A3773:F3774" totalsRowShown="0">
  <autoFilter ref="A3773:F37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table" Target="../tables/table114.xml"/><Relationship Id="rId299" Type="http://schemas.openxmlformats.org/officeDocument/2006/relationships/table" Target="../tables/table296.xml"/><Relationship Id="rId21" Type="http://schemas.openxmlformats.org/officeDocument/2006/relationships/table" Target="../tables/table18.xml"/><Relationship Id="rId63" Type="http://schemas.openxmlformats.org/officeDocument/2006/relationships/table" Target="../tables/table60.xml"/><Relationship Id="rId159" Type="http://schemas.openxmlformats.org/officeDocument/2006/relationships/table" Target="../tables/table156.xml"/><Relationship Id="rId324" Type="http://schemas.openxmlformats.org/officeDocument/2006/relationships/table" Target="../tables/table321.xml"/><Relationship Id="rId170" Type="http://schemas.openxmlformats.org/officeDocument/2006/relationships/table" Target="../tables/table167.xml"/><Relationship Id="rId226" Type="http://schemas.openxmlformats.org/officeDocument/2006/relationships/table" Target="../tables/table223.xml"/><Relationship Id="rId268" Type="http://schemas.openxmlformats.org/officeDocument/2006/relationships/table" Target="../tables/table265.xml"/><Relationship Id="rId32" Type="http://schemas.openxmlformats.org/officeDocument/2006/relationships/table" Target="../tables/table29.xml"/><Relationship Id="rId74" Type="http://schemas.openxmlformats.org/officeDocument/2006/relationships/table" Target="../tables/table71.xml"/><Relationship Id="rId128" Type="http://schemas.openxmlformats.org/officeDocument/2006/relationships/table" Target="../tables/table125.xml"/><Relationship Id="rId5" Type="http://schemas.openxmlformats.org/officeDocument/2006/relationships/table" Target="../tables/table2.xml"/><Relationship Id="rId181" Type="http://schemas.openxmlformats.org/officeDocument/2006/relationships/table" Target="../tables/table178.xml"/><Relationship Id="rId237" Type="http://schemas.openxmlformats.org/officeDocument/2006/relationships/table" Target="../tables/table234.xml"/><Relationship Id="rId279" Type="http://schemas.openxmlformats.org/officeDocument/2006/relationships/table" Target="../tables/table276.xml"/><Relationship Id="rId43" Type="http://schemas.openxmlformats.org/officeDocument/2006/relationships/table" Target="../tables/table40.xml"/><Relationship Id="rId139" Type="http://schemas.openxmlformats.org/officeDocument/2006/relationships/table" Target="../tables/table136.xml"/><Relationship Id="rId290" Type="http://schemas.openxmlformats.org/officeDocument/2006/relationships/table" Target="../tables/table287.xml"/><Relationship Id="rId304" Type="http://schemas.openxmlformats.org/officeDocument/2006/relationships/table" Target="../tables/table301.xml"/><Relationship Id="rId85" Type="http://schemas.openxmlformats.org/officeDocument/2006/relationships/table" Target="../tables/table82.xml"/><Relationship Id="rId150" Type="http://schemas.openxmlformats.org/officeDocument/2006/relationships/table" Target="../tables/table147.xml"/><Relationship Id="rId192" Type="http://schemas.openxmlformats.org/officeDocument/2006/relationships/table" Target="../tables/table189.xml"/><Relationship Id="rId206" Type="http://schemas.openxmlformats.org/officeDocument/2006/relationships/table" Target="../tables/table203.xml"/><Relationship Id="rId248" Type="http://schemas.openxmlformats.org/officeDocument/2006/relationships/table" Target="../tables/table245.xml"/><Relationship Id="rId12" Type="http://schemas.openxmlformats.org/officeDocument/2006/relationships/table" Target="../tables/table9.xml"/><Relationship Id="rId108" Type="http://schemas.openxmlformats.org/officeDocument/2006/relationships/table" Target="../tables/table105.xml"/><Relationship Id="rId315" Type="http://schemas.openxmlformats.org/officeDocument/2006/relationships/table" Target="../tables/table312.xml"/><Relationship Id="rId54" Type="http://schemas.openxmlformats.org/officeDocument/2006/relationships/table" Target="../tables/table51.xml"/><Relationship Id="rId96" Type="http://schemas.openxmlformats.org/officeDocument/2006/relationships/table" Target="../tables/table93.xml"/><Relationship Id="rId161" Type="http://schemas.openxmlformats.org/officeDocument/2006/relationships/table" Target="../tables/table158.xml"/><Relationship Id="rId217" Type="http://schemas.openxmlformats.org/officeDocument/2006/relationships/table" Target="../tables/table214.xml"/><Relationship Id="rId259" Type="http://schemas.openxmlformats.org/officeDocument/2006/relationships/table" Target="../tables/table256.xml"/><Relationship Id="rId23" Type="http://schemas.openxmlformats.org/officeDocument/2006/relationships/table" Target="../tables/table20.xml"/><Relationship Id="rId119" Type="http://schemas.openxmlformats.org/officeDocument/2006/relationships/table" Target="../tables/table116.xml"/><Relationship Id="rId270" Type="http://schemas.openxmlformats.org/officeDocument/2006/relationships/table" Target="../tables/table267.xml"/><Relationship Id="rId326" Type="http://schemas.openxmlformats.org/officeDocument/2006/relationships/table" Target="../tables/table323.xml"/><Relationship Id="rId65" Type="http://schemas.openxmlformats.org/officeDocument/2006/relationships/table" Target="../tables/table62.xml"/><Relationship Id="rId130" Type="http://schemas.openxmlformats.org/officeDocument/2006/relationships/table" Target="../tables/table127.xml"/><Relationship Id="rId172" Type="http://schemas.openxmlformats.org/officeDocument/2006/relationships/table" Target="../tables/table169.xml"/><Relationship Id="rId228" Type="http://schemas.openxmlformats.org/officeDocument/2006/relationships/table" Target="../tables/table225.xml"/><Relationship Id="rId281" Type="http://schemas.openxmlformats.org/officeDocument/2006/relationships/table" Target="../tables/table278.xml"/><Relationship Id="rId34" Type="http://schemas.openxmlformats.org/officeDocument/2006/relationships/table" Target="../tables/table31.xml"/><Relationship Id="rId76" Type="http://schemas.openxmlformats.org/officeDocument/2006/relationships/table" Target="../tables/table73.xml"/><Relationship Id="rId141" Type="http://schemas.openxmlformats.org/officeDocument/2006/relationships/table" Target="../tables/table138.xml"/><Relationship Id="rId7" Type="http://schemas.openxmlformats.org/officeDocument/2006/relationships/table" Target="../tables/table4.xml"/><Relationship Id="rId183" Type="http://schemas.openxmlformats.org/officeDocument/2006/relationships/table" Target="../tables/table180.xml"/><Relationship Id="rId239" Type="http://schemas.openxmlformats.org/officeDocument/2006/relationships/table" Target="../tables/table236.xml"/><Relationship Id="rId250" Type="http://schemas.openxmlformats.org/officeDocument/2006/relationships/table" Target="../tables/table247.xml"/><Relationship Id="rId271" Type="http://schemas.openxmlformats.org/officeDocument/2006/relationships/table" Target="../tables/table268.xml"/><Relationship Id="rId292" Type="http://schemas.openxmlformats.org/officeDocument/2006/relationships/table" Target="../tables/table289.xml"/><Relationship Id="rId306" Type="http://schemas.openxmlformats.org/officeDocument/2006/relationships/table" Target="../tables/table303.xml"/><Relationship Id="rId24" Type="http://schemas.openxmlformats.org/officeDocument/2006/relationships/table" Target="../tables/table21.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31" Type="http://schemas.openxmlformats.org/officeDocument/2006/relationships/table" Target="../tables/table128.xml"/><Relationship Id="rId327" Type="http://schemas.openxmlformats.org/officeDocument/2006/relationships/table" Target="../tables/table324.xml"/><Relationship Id="rId152" Type="http://schemas.openxmlformats.org/officeDocument/2006/relationships/table" Target="../tables/table149.xml"/><Relationship Id="rId173" Type="http://schemas.openxmlformats.org/officeDocument/2006/relationships/table" Target="../tables/table170.xml"/><Relationship Id="rId194" Type="http://schemas.openxmlformats.org/officeDocument/2006/relationships/table" Target="../tables/table191.xml"/><Relationship Id="rId208" Type="http://schemas.openxmlformats.org/officeDocument/2006/relationships/table" Target="../tables/table205.xml"/><Relationship Id="rId229" Type="http://schemas.openxmlformats.org/officeDocument/2006/relationships/table" Target="../tables/table226.xml"/><Relationship Id="rId240" Type="http://schemas.openxmlformats.org/officeDocument/2006/relationships/table" Target="../tables/table237.xml"/><Relationship Id="rId261" Type="http://schemas.openxmlformats.org/officeDocument/2006/relationships/table" Target="../tables/table258.xml"/><Relationship Id="rId14" Type="http://schemas.openxmlformats.org/officeDocument/2006/relationships/table" Target="../tables/table11.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282" Type="http://schemas.openxmlformats.org/officeDocument/2006/relationships/table" Target="../tables/table279.xml"/><Relationship Id="rId317" Type="http://schemas.openxmlformats.org/officeDocument/2006/relationships/table" Target="../tables/table314.xml"/><Relationship Id="rId8" Type="http://schemas.openxmlformats.org/officeDocument/2006/relationships/table" Target="../tables/table5.xml"/><Relationship Id="rId98" Type="http://schemas.openxmlformats.org/officeDocument/2006/relationships/table" Target="../tables/table95.xml"/><Relationship Id="rId121" Type="http://schemas.openxmlformats.org/officeDocument/2006/relationships/table" Target="../tables/table118.xml"/><Relationship Id="rId142" Type="http://schemas.openxmlformats.org/officeDocument/2006/relationships/table" Target="../tables/table139.xml"/><Relationship Id="rId163" Type="http://schemas.openxmlformats.org/officeDocument/2006/relationships/table" Target="../tables/table160.xml"/><Relationship Id="rId184" Type="http://schemas.openxmlformats.org/officeDocument/2006/relationships/table" Target="../tables/table181.xml"/><Relationship Id="rId219" Type="http://schemas.openxmlformats.org/officeDocument/2006/relationships/table" Target="../tables/table216.xml"/><Relationship Id="rId230" Type="http://schemas.openxmlformats.org/officeDocument/2006/relationships/table" Target="../tables/table227.xml"/><Relationship Id="rId251" Type="http://schemas.openxmlformats.org/officeDocument/2006/relationships/table" Target="../tables/table248.x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272" Type="http://schemas.openxmlformats.org/officeDocument/2006/relationships/table" Target="../tables/table269.xml"/><Relationship Id="rId293" Type="http://schemas.openxmlformats.org/officeDocument/2006/relationships/table" Target="../tables/table290.xml"/><Relationship Id="rId307" Type="http://schemas.openxmlformats.org/officeDocument/2006/relationships/table" Target="../tables/table304.xml"/><Relationship Id="rId328" Type="http://schemas.openxmlformats.org/officeDocument/2006/relationships/table" Target="../tables/table325.xml"/><Relationship Id="rId88" Type="http://schemas.openxmlformats.org/officeDocument/2006/relationships/table" Target="../tables/table85.xml"/><Relationship Id="rId111" Type="http://schemas.openxmlformats.org/officeDocument/2006/relationships/table" Target="../tables/table108.xml"/><Relationship Id="rId132" Type="http://schemas.openxmlformats.org/officeDocument/2006/relationships/table" Target="../tables/table129.xml"/><Relationship Id="rId153" Type="http://schemas.openxmlformats.org/officeDocument/2006/relationships/table" Target="../tables/table150.xml"/><Relationship Id="rId174" Type="http://schemas.openxmlformats.org/officeDocument/2006/relationships/table" Target="../tables/table171.xml"/><Relationship Id="rId195" Type="http://schemas.openxmlformats.org/officeDocument/2006/relationships/table" Target="../tables/table192.xml"/><Relationship Id="rId209" Type="http://schemas.openxmlformats.org/officeDocument/2006/relationships/table" Target="../tables/table206.xml"/><Relationship Id="rId220" Type="http://schemas.openxmlformats.org/officeDocument/2006/relationships/table" Target="../tables/table217.xml"/><Relationship Id="rId241" Type="http://schemas.openxmlformats.org/officeDocument/2006/relationships/table" Target="../tables/table238.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262" Type="http://schemas.openxmlformats.org/officeDocument/2006/relationships/table" Target="../tables/table259.xml"/><Relationship Id="rId283" Type="http://schemas.openxmlformats.org/officeDocument/2006/relationships/table" Target="../tables/table280.xml"/><Relationship Id="rId318" Type="http://schemas.openxmlformats.org/officeDocument/2006/relationships/table" Target="../tables/table315.xml"/><Relationship Id="rId78" Type="http://schemas.openxmlformats.org/officeDocument/2006/relationships/table" Target="../tables/table75.xml"/><Relationship Id="rId99" Type="http://schemas.openxmlformats.org/officeDocument/2006/relationships/table" Target="../tables/table96.xml"/><Relationship Id="rId101" Type="http://schemas.openxmlformats.org/officeDocument/2006/relationships/table" Target="../tables/table98.xml"/><Relationship Id="rId122" Type="http://schemas.openxmlformats.org/officeDocument/2006/relationships/table" Target="../tables/table119.xml"/><Relationship Id="rId143" Type="http://schemas.openxmlformats.org/officeDocument/2006/relationships/table" Target="../tables/table140.xml"/><Relationship Id="rId164" Type="http://schemas.openxmlformats.org/officeDocument/2006/relationships/table" Target="../tables/table161.xml"/><Relationship Id="rId185" Type="http://schemas.openxmlformats.org/officeDocument/2006/relationships/table" Target="../tables/table182.xml"/><Relationship Id="rId9" Type="http://schemas.openxmlformats.org/officeDocument/2006/relationships/table" Target="../tables/table6.xml"/><Relationship Id="rId210" Type="http://schemas.openxmlformats.org/officeDocument/2006/relationships/table" Target="../tables/table207.xml"/><Relationship Id="rId26" Type="http://schemas.openxmlformats.org/officeDocument/2006/relationships/table" Target="../tables/table23.xml"/><Relationship Id="rId231" Type="http://schemas.openxmlformats.org/officeDocument/2006/relationships/table" Target="../tables/table228.xml"/><Relationship Id="rId252" Type="http://schemas.openxmlformats.org/officeDocument/2006/relationships/table" Target="../tables/table249.xml"/><Relationship Id="rId273" Type="http://schemas.openxmlformats.org/officeDocument/2006/relationships/table" Target="../tables/table270.xml"/><Relationship Id="rId294" Type="http://schemas.openxmlformats.org/officeDocument/2006/relationships/table" Target="../tables/table291.xml"/><Relationship Id="rId308" Type="http://schemas.openxmlformats.org/officeDocument/2006/relationships/table" Target="../tables/table305.xml"/><Relationship Id="rId329" Type="http://schemas.openxmlformats.org/officeDocument/2006/relationships/comments" Target="../comments1.xml"/><Relationship Id="rId47" Type="http://schemas.openxmlformats.org/officeDocument/2006/relationships/table" Target="../tables/table44.xml"/><Relationship Id="rId68" Type="http://schemas.openxmlformats.org/officeDocument/2006/relationships/table" Target="../tables/table65.xml"/><Relationship Id="rId89" Type="http://schemas.openxmlformats.org/officeDocument/2006/relationships/table" Target="../tables/table86.xml"/><Relationship Id="rId112" Type="http://schemas.openxmlformats.org/officeDocument/2006/relationships/table" Target="../tables/table109.xml"/><Relationship Id="rId133" Type="http://schemas.openxmlformats.org/officeDocument/2006/relationships/table" Target="../tables/table130.xml"/><Relationship Id="rId154" Type="http://schemas.openxmlformats.org/officeDocument/2006/relationships/table" Target="../tables/table151.xml"/><Relationship Id="rId175" Type="http://schemas.openxmlformats.org/officeDocument/2006/relationships/table" Target="../tables/table172.xml"/><Relationship Id="rId196" Type="http://schemas.openxmlformats.org/officeDocument/2006/relationships/table" Target="../tables/table193.xml"/><Relationship Id="rId200" Type="http://schemas.openxmlformats.org/officeDocument/2006/relationships/table" Target="../tables/table197.xml"/><Relationship Id="rId16" Type="http://schemas.openxmlformats.org/officeDocument/2006/relationships/table" Target="../tables/table13.xml"/><Relationship Id="rId221" Type="http://schemas.openxmlformats.org/officeDocument/2006/relationships/table" Target="../tables/table218.xml"/><Relationship Id="rId242" Type="http://schemas.openxmlformats.org/officeDocument/2006/relationships/table" Target="../tables/table239.xml"/><Relationship Id="rId263" Type="http://schemas.openxmlformats.org/officeDocument/2006/relationships/table" Target="../tables/table260.xml"/><Relationship Id="rId284" Type="http://schemas.openxmlformats.org/officeDocument/2006/relationships/table" Target="../tables/table281.xml"/><Relationship Id="rId319" Type="http://schemas.openxmlformats.org/officeDocument/2006/relationships/table" Target="../tables/table316.xml"/><Relationship Id="rId37" Type="http://schemas.openxmlformats.org/officeDocument/2006/relationships/table" Target="../tables/table34.xml"/><Relationship Id="rId58" Type="http://schemas.openxmlformats.org/officeDocument/2006/relationships/table" Target="../tables/table55.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44" Type="http://schemas.openxmlformats.org/officeDocument/2006/relationships/table" Target="../tables/table141.xml"/><Relationship Id="rId90" Type="http://schemas.openxmlformats.org/officeDocument/2006/relationships/table" Target="../tables/table87.xml"/><Relationship Id="rId165" Type="http://schemas.openxmlformats.org/officeDocument/2006/relationships/table" Target="../tables/table162.xml"/><Relationship Id="rId186" Type="http://schemas.openxmlformats.org/officeDocument/2006/relationships/table" Target="../tables/table183.xml"/><Relationship Id="rId211" Type="http://schemas.openxmlformats.org/officeDocument/2006/relationships/table" Target="../tables/table208.xml"/><Relationship Id="rId232" Type="http://schemas.openxmlformats.org/officeDocument/2006/relationships/table" Target="../tables/table229.xml"/><Relationship Id="rId253" Type="http://schemas.openxmlformats.org/officeDocument/2006/relationships/table" Target="../tables/table250.xml"/><Relationship Id="rId274" Type="http://schemas.openxmlformats.org/officeDocument/2006/relationships/table" Target="../tables/table271.xml"/><Relationship Id="rId295" Type="http://schemas.openxmlformats.org/officeDocument/2006/relationships/table" Target="../tables/table292.xml"/><Relationship Id="rId309" Type="http://schemas.openxmlformats.org/officeDocument/2006/relationships/table" Target="../tables/table306.xml"/><Relationship Id="rId27" Type="http://schemas.openxmlformats.org/officeDocument/2006/relationships/table" Target="../tables/table24.xml"/><Relationship Id="rId48" Type="http://schemas.openxmlformats.org/officeDocument/2006/relationships/table" Target="../tables/table45.xml"/><Relationship Id="rId69" Type="http://schemas.openxmlformats.org/officeDocument/2006/relationships/table" Target="../tables/table66.xml"/><Relationship Id="rId113" Type="http://schemas.openxmlformats.org/officeDocument/2006/relationships/table" Target="../tables/table110.xml"/><Relationship Id="rId134" Type="http://schemas.openxmlformats.org/officeDocument/2006/relationships/table" Target="../tables/table131.xml"/><Relationship Id="rId320" Type="http://schemas.openxmlformats.org/officeDocument/2006/relationships/table" Target="../tables/table317.xml"/><Relationship Id="rId80" Type="http://schemas.openxmlformats.org/officeDocument/2006/relationships/table" Target="../tables/table77.xml"/><Relationship Id="rId155" Type="http://schemas.openxmlformats.org/officeDocument/2006/relationships/table" Target="../tables/table152.xml"/><Relationship Id="rId176" Type="http://schemas.openxmlformats.org/officeDocument/2006/relationships/table" Target="../tables/table173.xml"/><Relationship Id="rId197" Type="http://schemas.openxmlformats.org/officeDocument/2006/relationships/table" Target="../tables/table194.xml"/><Relationship Id="rId201" Type="http://schemas.openxmlformats.org/officeDocument/2006/relationships/table" Target="../tables/table198.xml"/><Relationship Id="rId222" Type="http://schemas.openxmlformats.org/officeDocument/2006/relationships/table" Target="../tables/table219.xml"/><Relationship Id="rId243" Type="http://schemas.openxmlformats.org/officeDocument/2006/relationships/table" Target="../tables/table240.xml"/><Relationship Id="rId264" Type="http://schemas.openxmlformats.org/officeDocument/2006/relationships/table" Target="../tables/table261.xml"/><Relationship Id="rId285" Type="http://schemas.openxmlformats.org/officeDocument/2006/relationships/table" Target="../tables/table282.xml"/><Relationship Id="rId17" Type="http://schemas.openxmlformats.org/officeDocument/2006/relationships/table" Target="../tables/table14.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24" Type="http://schemas.openxmlformats.org/officeDocument/2006/relationships/table" Target="../tables/table121.xml"/><Relationship Id="rId310" Type="http://schemas.openxmlformats.org/officeDocument/2006/relationships/table" Target="../tables/table307.xml"/><Relationship Id="rId70" Type="http://schemas.openxmlformats.org/officeDocument/2006/relationships/table" Target="../tables/table67.xml"/><Relationship Id="rId91" Type="http://schemas.openxmlformats.org/officeDocument/2006/relationships/table" Target="../tables/table88.xml"/><Relationship Id="rId145" Type="http://schemas.openxmlformats.org/officeDocument/2006/relationships/table" Target="../tables/table142.xml"/><Relationship Id="rId166" Type="http://schemas.openxmlformats.org/officeDocument/2006/relationships/table" Target="../tables/table163.xml"/><Relationship Id="rId187" Type="http://schemas.openxmlformats.org/officeDocument/2006/relationships/table" Target="../tables/table184.xml"/><Relationship Id="rId1" Type="http://schemas.openxmlformats.org/officeDocument/2006/relationships/printerSettings" Target="../printerSettings/printerSettings1.bin"/><Relationship Id="rId212" Type="http://schemas.openxmlformats.org/officeDocument/2006/relationships/table" Target="../tables/table209.xml"/><Relationship Id="rId233" Type="http://schemas.openxmlformats.org/officeDocument/2006/relationships/table" Target="../tables/table230.xml"/><Relationship Id="rId254" Type="http://schemas.openxmlformats.org/officeDocument/2006/relationships/table" Target="../tables/table251.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275" Type="http://schemas.openxmlformats.org/officeDocument/2006/relationships/table" Target="../tables/table272.xml"/><Relationship Id="rId296" Type="http://schemas.openxmlformats.org/officeDocument/2006/relationships/table" Target="../tables/table293.xml"/><Relationship Id="rId300" Type="http://schemas.openxmlformats.org/officeDocument/2006/relationships/table" Target="../tables/table297.xml"/><Relationship Id="rId60" Type="http://schemas.openxmlformats.org/officeDocument/2006/relationships/table" Target="../tables/table57.xml"/><Relationship Id="rId81" Type="http://schemas.openxmlformats.org/officeDocument/2006/relationships/table" Target="../tables/table78.xml"/><Relationship Id="rId135" Type="http://schemas.openxmlformats.org/officeDocument/2006/relationships/table" Target="../tables/table132.xml"/><Relationship Id="rId156" Type="http://schemas.openxmlformats.org/officeDocument/2006/relationships/table" Target="../tables/table153.xml"/><Relationship Id="rId177" Type="http://schemas.openxmlformats.org/officeDocument/2006/relationships/table" Target="../tables/table174.xml"/><Relationship Id="rId198" Type="http://schemas.openxmlformats.org/officeDocument/2006/relationships/table" Target="../tables/table195.xml"/><Relationship Id="rId321" Type="http://schemas.openxmlformats.org/officeDocument/2006/relationships/table" Target="../tables/table318.xml"/><Relationship Id="rId202" Type="http://schemas.openxmlformats.org/officeDocument/2006/relationships/table" Target="../tables/table199.xml"/><Relationship Id="rId223" Type="http://schemas.openxmlformats.org/officeDocument/2006/relationships/table" Target="../tables/table220.xml"/><Relationship Id="rId244" Type="http://schemas.openxmlformats.org/officeDocument/2006/relationships/table" Target="../tables/table241.xml"/><Relationship Id="rId18" Type="http://schemas.openxmlformats.org/officeDocument/2006/relationships/table" Target="../tables/table15.xml"/><Relationship Id="rId39" Type="http://schemas.openxmlformats.org/officeDocument/2006/relationships/table" Target="../tables/table36.xml"/><Relationship Id="rId265" Type="http://schemas.openxmlformats.org/officeDocument/2006/relationships/table" Target="../tables/table262.xml"/><Relationship Id="rId286" Type="http://schemas.openxmlformats.org/officeDocument/2006/relationships/table" Target="../tables/table283.xml"/><Relationship Id="rId50" Type="http://schemas.openxmlformats.org/officeDocument/2006/relationships/table" Target="../tables/table47.xml"/><Relationship Id="rId104" Type="http://schemas.openxmlformats.org/officeDocument/2006/relationships/table" Target="../tables/table101.xml"/><Relationship Id="rId125" Type="http://schemas.openxmlformats.org/officeDocument/2006/relationships/table" Target="../tables/table122.xml"/><Relationship Id="rId146" Type="http://schemas.openxmlformats.org/officeDocument/2006/relationships/table" Target="../tables/table143.xml"/><Relationship Id="rId167" Type="http://schemas.openxmlformats.org/officeDocument/2006/relationships/table" Target="../tables/table164.xml"/><Relationship Id="rId188" Type="http://schemas.openxmlformats.org/officeDocument/2006/relationships/table" Target="../tables/table185.xml"/><Relationship Id="rId311" Type="http://schemas.openxmlformats.org/officeDocument/2006/relationships/table" Target="../tables/table308.xml"/><Relationship Id="rId71" Type="http://schemas.openxmlformats.org/officeDocument/2006/relationships/table" Target="../tables/table68.xml"/><Relationship Id="rId92" Type="http://schemas.openxmlformats.org/officeDocument/2006/relationships/table" Target="../tables/table89.xml"/><Relationship Id="rId213" Type="http://schemas.openxmlformats.org/officeDocument/2006/relationships/table" Target="../tables/table210.xml"/><Relationship Id="rId234" Type="http://schemas.openxmlformats.org/officeDocument/2006/relationships/table" Target="../tables/table231.xml"/><Relationship Id="rId2" Type="http://schemas.openxmlformats.org/officeDocument/2006/relationships/drawing" Target="../drawings/drawing1.xml"/><Relationship Id="rId29" Type="http://schemas.openxmlformats.org/officeDocument/2006/relationships/table" Target="../tables/table26.xml"/><Relationship Id="rId255" Type="http://schemas.openxmlformats.org/officeDocument/2006/relationships/table" Target="../tables/table252.xml"/><Relationship Id="rId276" Type="http://schemas.openxmlformats.org/officeDocument/2006/relationships/table" Target="../tables/table273.xml"/><Relationship Id="rId297" Type="http://schemas.openxmlformats.org/officeDocument/2006/relationships/table" Target="../tables/table294.xml"/><Relationship Id="rId40" Type="http://schemas.openxmlformats.org/officeDocument/2006/relationships/table" Target="../tables/table37.xml"/><Relationship Id="rId115" Type="http://schemas.openxmlformats.org/officeDocument/2006/relationships/table" Target="../tables/table112.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301" Type="http://schemas.openxmlformats.org/officeDocument/2006/relationships/table" Target="../tables/table298.xml"/><Relationship Id="rId322" Type="http://schemas.openxmlformats.org/officeDocument/2006/relationships/table" Target="../tables/table319.xml"/><Relationship Id="rId61" Type="http://schemas.openxmlformats.org/officeDocument/2006/relationships/table" Target="../tables/table58.xml"/><Relationship Id="rId82" Type="http://schemas.openxmlformats.org/officeDocument/2006/relationships/table" Target="../tables/table79.xml"/><Relationship Id="rId199" Type="http://schemas.openxmlformats.org/officeDocument/2006/relationships/table" Target="../tables/table196.xml"/><Relationship Id="rId203" Type="http://schemas.openxmlformats.org/officeDocument/2006/relationships/table" Target="../tables/table200.xml"/><Relationship Id="rId19" Type="http://schemas.openxmlformats.org/officeDocument/2006/relationships/table" Target="../tables/table16.xml"/><Relationship Id="rId224" Type="http://schemas.openxmlformats.org/officeDocument/2006/relationships/table" Target="../tables/table221.xml"/><Relationship Id="rId245" Type="http://schemas.openxmlformats.org/officeDocument/2006/relationships/table" Target="../tables/table242.xml"/><Relationship Id="rId266" Type="http://schemas.openxmlformats.org/officeDocument/2006/relationships/table" Target="../tables/table263.xml"/><Relationship Id="rId287" Type="http://schemas.openxmlformats.org/officeDocument/2006/relationships/table" Target="../tables/table284.xml"/><Relationship Id="rId30" Type="http://schemas.openxmlformats.org/officeDocument/2006/relationships/table" Target="../tables/table2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312" Type="http://schemas.openxmlformats.org/officeDocument/2006/relationships/table" Target="../tables/table309.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189" Type="http://schemas.openxmlformats.org/officeDocument/2006/relationships/table" Target="../tables/table186.xml"/><Relationship Id="rId3" Type="http://schemas.openxmlformats.org/officeDocument/2006/relationships/vmlDrawing" Target="../drawings/vmlDrawing1.vml"/><Relationship Id="rId214" Type="http://schemas.openxmlformats.org/officeDocument/2006/relationships/table" Target="../tables/table211.xml"/><Relationship Id="rId235" Type="http://schemas.openxmlformats.org/officeDocument/2006/relationships/table" Target="../tables/table232.xml"/><Relationship Id="rId256" Type="http://schemas.openxmlformats.org/officeDocument/2006/relationships/table" Target="../tables/table253.xml"/><Relationship Id="rId277" Type="http://schemas.openxmlformats.org/officeDocument/2006/relationships/table" Target="../tables/table274.xml"/><Relationship Id="rId298" Type="http://schemas.openxmlformats.org/officeDocument/2006/relationships/table" Target="../tables/table295.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302" Type="http://schemas.openxmlformats.org/officeDocument/2006/relationships/table" Target="../tables/table299.xml"/><Relationship Id="rId323" Type="http://schemas.openxmlformats.org/officeDocument/2006/relationships/table" Target="../tables/table320.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179" Type="http://schemas.openxmlformats.org/officeDocument/2006/relationships/table" Target="../tables/table176.xml"/><Relationship Id="rId190" Type="http://schemas.openxmlformats.org/officeDocument/2006/relationships/table" Target="../tables/table187.xml"/><Relationship Id="rId204" Type="http://schemas.openxmlformats.org/officeDocument/2006/relationships/table" Target="../tables/table201.xml"/><Relationship Id="rId225" Type="http://schemas.openxmlformats.org/officeDocument/2006/relationships/table" Target="../tables/table222.xml"/><Relationship Id="rId246" Type="http://schemas.openxmlformats.org/officeDocument/2006/relationships/table" Target="../tables/table243.xml"/><Relationship Id="rId267" Type="http://schemas.openxmlformats.org/officeDocument/2006/relationships/table" Target="../tables/table264.xml"/><Relationship Id="rId288" Type="http://schemas.openxmlformats.org/officeDocument/2006/relationships/table" Target="../tables/table285.xml"/><Relationship Id="rId106" Type="http://schemas.openxmlformats.org/officeDocument/2006/relationships/table" Target="../tables/table103.xml"/><Relationship Id="rId127" Type="http://schemas.openxmlformats.org/officeDocument/2006/relationships/table" Target="../tables/table124.xml"/><Relationship Id="rId313" Type="http://schemas.openxmlformats.org/officeDocument/2006/relationships/table" Target="../tables/table310.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94" Type="http://schemas.openxmlformats.org/officeDocument/2006/relationships/table" Target="../tables/table91.xml"/><Relationship Id="rId148" Type="http://schemas.openxmlformats.org/officeDocument/2006/relationships/table" Target="../tables/table145.xml"/><Relationship Id="rId169" Type="http://schemas.openxmlformats.org/officeDocument/2006/relationships/table" Target="../tables/table166.xml"/><Relationship Id="rId4" Type="http://schemas.openxmlformats.org/officeDocument/2006/relationships/table" Target="../tables/table1.xml"/><Relationship Id="rId180" Type="http://schemas.openxmlformats.org/officeDocument/2006/relationships/table" Target="../tables/table177.xml"/><Relationship Id="rId215" Type="http://schemas.openxmlformats.org/officeDocument/2006/relationships/table" Target="../tables/table212.xml"/><Relationship Id="rId236" Type="http://schemas.openxmlformats.org/officeDocument/2006/relationships/table" Target="../tables/table233.xml"/><Relationship Id="rId257" Type="http://schemas.openxmlformats.org/officeDocument/2006/relationships/table" Target="../tables/table254.xml"/><Relationship Id="rId278" Type="http://schemas.openxmlformats.org/officeDocument/2006/relationships/table" Target="../tables/table275.xml"/><Relationship Id="rId303" Type="http://schemas.openxmlformats.org/officeDocument/2006/relationships/table" Target="../tables/table300.xml"/><Relationship Id="rId42" Type="http://schemas.openxmlformats.org/officeDocument/2006/relationships/table" Target="../tables/table39.xml"/><Relationship Id="rId84" Type="http://schemas.openxmlformats.org/officeDocument/2006/relationships/table" Target="../tables/table81.xml"/><Relationship Id="rId138" Type="http://schemas.openxmlformats.org/officeDocument/2006/relationships/table" Target="../tables/table135.xml"/><Relationship Id="rId191" Type="http://schemas.openxmlformats.org/officeDocument/2006/relationships/table" Target="../tables/table188.xml"/><Relationship Id="rId205" Type="http://schemas.openxmlformats.org/officeDocument/2006/relationships/table" Target="../tables/table202.xml"/><Relationship Id="rId247" Type="http://schemas.openxmlformats.org/officeDocument/2006/relationships/table" Target="../tables/table244.xml"/><Relationship Id="rId107" Type="http://schemas.openxmlformats.org/officeDocument/2006/relationships/table" Target="../tables/table104.xml"/><Relationship Id="rId289" Type="http://schemas.openxmlformats.org/officeDocument/2006/relationships/table" Target="../tables/table286.xml"/><Relationship Id="rId11" Type="http://schemas.openxmlformats.org/officeDocument/2006/relationships/table" Target="../tables/table8.xml"/><Relationship Id="rId53" Type="http://schemas.openxmlformats.org/officeDocument/2006/relationships/table" Target="../tables/table50.xml"/><Relationship Id="rId149" Type="http://schemas.openxmlformats.org/officeDocument/2006/relationships/table" Target="../tables/table146.xml"/><Relationship Id="rId314" Type="http://schemas.openxmlformats.org/officeDocument/2006/relationships/table" Target="../tables/table311.xml"/><Relationship Id="rId95" Type="http://schemas.openxmlformats.org/officeDocument/2006/relationships/table" Target="../tables/table92.xml"/><Relationship Id="rId160" Type="http://schemas.openxmlformats.org/officeDocument/2006/relationships/table" Target="../tables/table157.xml"/><Relationship Id="rId216" Type="http://schemas.openxmlformats.org/officeDocument/2006/relationships/table" Target="../tables/table213.xml"/><Relationship Id="rId258" Type="http://schemas.openxmlformats.org/officeDocument/2006/relationships/table" Target="../tables/table255.xml"/><Relationship Id="rId22" Type="http://schemas.openxmlformats.org/officeDocument/2006/relationships/table" Target="../tables/table19.xml"/><Relationship Id="rId64" Type="http://schemas.openxmlformats.org/officeDocument/2006/relationships/table" Target="../tables/table61.xml"/><Relationship Id="rId118" Type="http://schemas.openxmlformats.org/officeDocument/2006/relationships/table" Target="../tables/table115.xml"/><Relationship Id="rId325" Type="http://schemas.openxmlformats.org/officeDocument/2006/relationships/table" Target="../tables/table322.xml"/><Relationship Id="rId171" Type="http://schemas.openxmlformats.org/officeDocument/2006/relationships/table" Target="../tables/table168.xml"/><Relationship Id="rId227" Type="http://schemas.openxmlformats.org/officeDocument/2006/relationships/table" Target="../tables/table224.xml"/><Relationship Id="rId269" Type="http://schemas.openxmlformats.org/officeDocument/2006/relationships/table" Target="../tables/table266.xml"/><Relationship Id="rId33" Type="http://schemas.openxmlformats.org/officeDocument/2006/relationships/table" Target="../tables/table30.xml"/><Relationship Id="rId129" Type="http://schemas.openxmlformats.org/officeDocument/2006/relationships/table" Target="../tables/table126.xml"/><Relationship Id="rId280" Type="http://schemas.openxmlformats.org/officeDocument/2006/relationships/table" Target="../tables/table277.xml"/><Relationship Id="rId75" Type="http://schemas.openxmlformats.org/officeDocument/2006/relationships/table" Target="../tables/table72.xml"/><Relationship Id="rId140" Type="http://schemas.openxmlformats.org/officeDocument/2006/relationships/table" Target="../tables/table137.xml"/><Relationship Id="rId182" Type="http://schemas.openxmlformats.org/officeDocument/2006/relationships/table" Target="../tables/table179.xml"/><Relationship Id="rId6" Type="http://schemas.openxmlformats.org/officeDocument/2006/relationships/table" Target="../tables/table3.xml"/><Relationship Id="rId238" Type="http://schemas.openxmlformats.org/officeDocument/2006/relationships/table" Target="../tables/table235.xml"/><Relationship Id="rId291" Type="http://schemas.openxmlformats.org/officeDocument/2006/relationships/table" Target="../tables/table288.xml"/><Relationship Id="rId305" Type="http://schemas.openxmlformats.org/officeDocument/2006/relationships/table" Target="../tables/table302.xml"/><Relationship Id="rId44" Type="http://schemas.openxmlformats.org/officeDocument/2006/relationships/table" Target="../tables/table41.xml"/><Relationship Id="rId86" Type="http://schemas.openxmlformats.org/officeDocument/2006/relationships/table" Target="../tables/table83.xml"/><Relationship Id="rId151" Type="http://schemas.openxmlformats.org/officeDocument/2006/relationships/table" Target="../tables/table148.xml"/><Relationship Id="rId193" Type="http://schemas.openxmlformats.org/officeDocument/2006/relationships/table" Target="../tables/table190.xml"/><Relationship Id="rId207" Type="http://schemas.openxmlformats.org/officeDocument/2006/relationships/table" Target="../tables/table204.xml"/><Relationship Id="rId249" Type="http://schemas.openxmlformats.org/officeDocument/2006/relationships/table" Target="../tables/table246.xml"/><Relationship Id="rId13" Type="http://schemas.openxmlformats.org/officeDocument/2006/relationships/table" Target="../tables/table10.xml"/><Relationship Id="rId109" Type="http://schemas.openxmlformats.org/officeDocument/2006/relationships/table" Target="../tables/table106.xml"/><Relationship Id="rId260" Type="http://schemas.openxmlformats.org/officeDocument/2006/relationships/table" Target="../tables/table257.xml"/><Relationship Id="rId316" Type="http://schemas.openxmlformats.org/officeDocument/2006/relationships/table" Target="../tables/table313.xml"/><Relationship Id="rId55" Type="http://schemas.openxmlformats.org/officeDocument/2006/relationships/table" Target="../tables/table52.xml"/><Relationship Id="rId97" Type="http://schemas.openxmlformats.org/officeDocument/2006/relationships/table" Target="../tables/table94.xml"/><Relationship Id="rId120" Type="http://schemas.openxmlformats.org/officeDocument/2006/relationships/table" Target="../tables/table117.xml"/><Relationship Id="rId162" Type="http://schemas.openxmlformats.org/officeDocument/2006/relationships/table" Target="../tables/table159.xml"/><Relationship Id="rId218" Type="http://schemas.openxmlformats.org/officeDocument/2006/relationships/table" Target="../tables/table2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7197"/>
  <sheetViews>
    <sheetView tabSelected="1" zoomScale="90" zoomScaleNormal="90" workbookViewId="0">
      <selection activeCell="F21" sqref="F21"/>
    </sheetView>
  </sheetViews>
  <sheetFormatPr baseColWidth="10" defaultRowHeight="15" x14ac:dyDescent="0.25"/>
  <cols>
    <col min="1" max="1" width="24.28515625" customWidth="1"/>
    <col min="2" max="2" width="46.5703125" customWidth="1"/>
    <col min="3" max="3" width="19" customWidth="1"/>
    <col min="4" max="4" width="24" customWidth="1"/>
    <col min="5" max="5" width="24.28515625" customWidth="1"/>
    <col min="6" max="6" width="25.140625" customWidth="1"/>
  </cols>
  <sheetData>
    <row r="1" spans="1:6" ht="19.5" thickTop="1" x14ac:dyDescent="0.25">
      <c r="A1" s="37"/>
      <c r="B1" s="16"/>
      <c r="C1" s="17"/>
      <c r="D1" s="17"/>
      <c r="E1" s="18"/>
      <c r="F1" s="16"/>
    </row>
    <row r="2" spans="1:6" ht="23.25" x14ac:dyDescent="0.25">
      <c r="A2" s="37"/>
      <c r="B2" s="38" t="s">
        <v>0</v>
      </c>
      <c r="C2" s="38"/>
      <c r="D2" s="38"/>
      <c r="E2" s="38"/>
      <c r="F2" s="19"/>
    </row>
    <row r="3" spans="1:6" ht="23.25" x14ac:dyDescent="0.25">
      <c r="A3" s="37"/>
      <c r="B3" s="39" t="s">
        <v>1</v>
      </c>
      <c r="C3" s="39"/>
      <c r="D3" s="39"/>
      <c r="E3" s="39"/>
      <c r="F3" s="20"/>
    </row>
    <row r="4" spans="1:6" ht="18.75" x14ac:dyDescent="0.25">
      <c r="A4" s="37"/>
      <c r="B4" s="16"/>
      <c r="C4" s="16"/>
      <c r="D4" s="16"/>
      <c r="E4" s="21"/>
      <c r="F4" s="16"/>
    </row>
    <row r="5" spans="1:6" ht="21.75" thickBot="1" x14ac:dyDescent="0.3">
      <c r="A5" s="22"/>
      <c r="B5" s="22"/>
      <c r="C5" s="23"/>
      <c r="D5" s="23"/>
      <c r="E5" s="23"/>
      <c r="F5" s="23"/>
    </row>
    <row r="6" spans="1:6" ht="15.75" customHeight="1" thickBot="1" x14ac:dyDescent="0.3">
      <c r="A6" s="45" t="s">
        <v>2</v>
      </c>
      <c r="B6" s="46"/>
      <c r="C6" s="47"/>
      <c r="D6" s="48" t="s">
        <v>3</v>
      </c>
      <c r="E6" s="49" t="s">
        <v>4</v>
      </c>
      <c r="F6" s="50"/>
    </row>
    <row r="7" spans="1:6" ht="15.75" customHeight="1" thickBot="1" x14ac:dyDescent="0.3">
      <c r="A7" s="51" t="s">
        <v>5</v>
      </c>
      <c r="B7" s="46"/>
      <c r="C7" s="46"/>
      <c r="D7" s="48" t="s">
        <v>6</v>
      </c>
      <c r="E7" s="49" t="s">
        <v>7</v>
      </c>
      <c r="F7" s="50"/>
    </row>
    <row r="8" spans="1:6" ht="15.75" customHeight="1" thickBot="1" x14ac:dyDescent="0.3">
      <c r="A8" s="46"/>
      <c r="B8" s="46"/>
      <c r="C8" s="46"/>
      <c r="D8" s="48" t="s">
        <v>8</v>
      </c>
      <c r="E8" s="49" t="s">
        <v>9</v>
      </c>
      <c r="F8" s="50"/>
    </row>
    <row r="9" spans="1:6" ht="15.75" customHeight="1" thickBot="1" x14ac:dyDescent="0.3">
      <c r="A9" s="52" t="s">
        <v>10</v>
      </c>
      <c r="B9" s="53">
        <f ca="1">COUNTIFS(TotalEstColumnName,"="&amp;TotalEstLabel,TotalEstColumnValue,"&gt;0")</f>
        <v>478</v>
      </c>
      <c r="C9" s="46"/>
      <c r="D9" s="48" t="s">
        <v>11</v>
      </c>
      <c r="E9" s="49" t="s">
        <v>12</v>
      </c>
      <c r="F9" s="50"/>
    </row>
    <row r="10" spans="1:6" ht="15.75" customHeight="1" thickBot="1" x14ac:dyDescent="0.3">
      <c r="A10" s="54" t="s">
        <v>13</v>
      </c>
      <c r="B10" s="55">
        <f ca="1">SUMIF(TotalEstColumnName,"="&amp;TotalEstLabel,TotalEstColumnValue)</f>
        <v>2882549902.1399999</v>
      </c>
      <c r="C10" s="46"/>
      <c r="D10" s="48" t="s">
        <v>14</v>
      </c>
      <c r="E10" s="49" t="s">
        <v>15</v>
      </c>
      <c r="F10" s="50"/>
    </row>
    <row r="11" spans="1:6" ht="15.75" customHeight="1" thickBot="1" x14ac:dyDescent="0.3">
      <c r="A11" s="46"/>
      <c r="B11" s="46"/>
      <c r="C11" s="46"/>
      <c r="D11" s="48" t="s">
        <v>16</v>
      </c>
      <c r="E11" s="56" t="s">
        <v>17</v>
      </c>
      <c r="F11" s="57"/>
    </row>
    <row r="12" spans="1:6" ht="15.75" customHeight="1" thickBot="1" x14ac:dyDescent="0.3">
      <c r="A12" s="58"/>
      <c r="B12" s="58"/>
      <c r="C12" s="58"/>
      <c r="D12" s="48" t="s">
        <v>18</v>
      </c>
      <c r="E12" s="59" t="s">
        <v>30</v>
      </c>
      <c r="F12" s="60"/>
    </row>
    <row r="14" spans="1:6" ht="15.75" thickBot="1" x14ac:dyDescent="0.3"/>
    <row r="15" spans="1:6" ht="23.25" thickBot="1" x14ac:dyDescent="0.3">
      <c r="A15" s="4" t="s">
        <v>19</v>
      </c>
      <c r="B15" s="4" t="s">
        <v>20</v>
      </c>
      <c r="C15" s="4" t="s">
        <v>21</v>
      </c>
      <c r="D15" s="4" t="s">
        <v>22</v>
      </c>
      <c r="E15" s="4" t="s">
        <v>23</v>
      </c>
      <c r="F15" s="4" t="s">
        <v>24</v>
      </c>
    </row>
    <row r="16" spans="1:6" ht="15.75" thickBot="1" x14ac:dyDescent="0.3">
      <c r="A16" s="6" t="s">
        <v>542</v>
      </c>
      <c r="B16" s="6" t="s">
        <v>542</v>
      </c>
      <c r="C16" s="6" t="s">
        <v>27</v>
      </c>
      <c r="D16" s="6" t="s">
        <v>28</v>
      </c>
      <c r="E16" s="6" t="s">
        <v>29</v>
      </c>
      <c r="F16" s="6"/>
    </row>
    <row r="17" spans="1:6" ht="15.75" thickBot="1" x14ac:dyDescent="0.3">
      <c r="A17" s="35" t="s">
        <v>31</v>
      </c>
      <c r="B17" s="7" t="s">
        <v>32</v>
      </c>
      <c r="C17" s="24">
        <v>45323</v>
      </c>
      <c r="D17" s="35" t="s">
        <v>33</v>
      </c>
      <c r="E17" s="26" t="s">
        <v>34</v>
      </c>
      <c r="F17" s="27" t="s">
        <v>35</v>
      </c>
    </row>
    <row r="18" spans="1:6" ht="15.75" thickBot="1" x14ac:dyDescent="0.3">
      <c r="A18" s="36"/>
      <c r="B18" s="7" t="s">
        <v>36</v>
      </c>
      <c r="C18" s="25">
        <f>IF(C17="","",IF(AND(MONTH(C17)&gt;=1,MONTH(C17)&lt;=3),1,IF(AND(MONTH(C17)&gt;=4,MONTH(C17)&lt;=6),2,IF(AND(MONTH(C17)&gt;=7,MONTH(C17)&lt;=9),3,4))))</f>
        <v>1</v>
      </c>
      <c r="D18" s="36"/>
      <c r="E18" s="26" t="s">
        <v>37</v>
      </c>
      <c r="F18" s="27" t="s">
        <v>38</v>
      </c>
    </row>
    <row r="19" spans="1:6" ht="15.75" thickBot="1" x14ac:dyDescent="0.3">
      <c r="A19" s="36"/>
      <c r="B19" s="7" t="s">
        <v>39</v>
      </c>
      <c r="C19" s="24">
        <v>45381</v>
      </c>
      <c r="D19" s="36"/>
      <c r="E19" s="26" t="s">
        <v>40</v>
      </c>
      <c r="F19" s="27"/>
    </row>
    <row r="20" spans="1:6" ht="15.75" thickBot="1" x14ac:dyDescent="0.3">
      <c r="A20" s="36"/>
      <c r="B20" s="7" t="s">
        <v>36</v>
      </c>
      <c r="C20" s="25">
        <f>IF(C19="","",IF(AND(MONTH(C19)&gt;=1,MONTH(C19)&lt;=3),1,IF(AND(MONTH(C19)&gt;=4,MONTH(C19)&lt;=6),2,IF(AND(MONTH(C19)&gt;=7,MONTH(C19)&lt;=9),3,4))))</f>
        <v>1</v>
      </c>
      <c r="D20" s="36"/>
      <c r="E20" s="26" t="s">
        <v>41</v>
      </c>
      <c r="F20" s="27"/>
    </row>
    <row r="21" spans="1:6" ht="15.75" thickBot="1" x14ac:dyDescent="0.3">
      <c r="A21" s="42"/>
      <c r="B21" s="42"/>
      <c r="C21" s="42"/>
      <c r="D21" s="42"/>
      <c r="E21" s="42"/>
      <c r="F21" s="42"/>
    </row>
    <row r="22" spans="1:6" ht="15.75" thickBot="1" x14ac:dyDescent="0.3">
      <c r="A22" s="44" t="s">
        <v>42</v>
      </c>
      <c r="B22" s="44" t="s">
        <v>43</v>
      </c>
      <c r="C22" s="44" t="s">
        <v>44</v>
      </c>
      <c r="D22" s="44" t="s">
        <v>45</v>
      </c>
      <c r="E22" s="44" t="s">
        <v>46</v>
      </c>
      <c r="F22" s="44" t="s">
        <v>47</v>
      </c>
    </row>
    <row r="23" spans="1:6" x14ac:dyDescent="0.25">
      <c r="A23" s="8" t="s">
        <v>543</v>
      </c>
      <c r="B23" s="9" t="str">
        <f ca="1">IFERROR(INDEX(UNSPSCDes,MATCH(INDIRECT(ADDRESS(ROW(),COLUMN()-1,4)),UNSPSCCode,0)),IF(INDIRECT(ADDRESS(ROW(),COLUMN()-1,4))="24112702","Tarima de plástico",""))</f>
        <v>Tarima de plástico</v>
      </c>
      <c r="C23" s="28" t="str">
        <f>IFERROR(VLOOKUP("UD",'[4]Informacion '!P:Q,2,FALSE),"")</f>
        <v>Unidad</v>
      </c>
      <c r="D23" s="8">
        <v>50</v>
      </c>
      <c r="E23" s="11">
        <v>15340</v>
      </c>
      <c r="F23" s="10">
        <f ca="1">INDIRECT(ADDRESS(ROW(),COLUMN()-2,4))*INDIRECT(ADDRESS(ROW(),COLUMN()-1,4))</f>
        <v>767000</v>
      </c>
    </row>
    <row r="24" spans="1:6" x14ac:dyDescent="0.25">
      <c r="A24" s="42"/>
      <c r="B24" s="42"/>
      <c r="C24" s="42"/>
      <c r="D24" s="42"/>
      <c r="E24" s="13" t="s">
        <v>87</v>
      </c>
      <c r="F24" s="14">
        <f ca="1">SUM(Table4[MONTO TOTAL ESTIMADO])</f>
        <v>767000</v>
      </c>
    </row>
    <row r="25" spans="1:6" ht="15.75" thickBot="1" x14ac:dyDescent="0.3"/>
    <row r="26" spans="1:6" ht="34.5" thickBot="1" x14ac:dyDescent="0.3">
      <c r="A26" s="4" t="s">
        <v>19</v>
      </c>
      <c r="B26" s="4" t="s">
        <v>20</v>
      </c>
      <c r="C26" s="4" t="s">
        <v>21</v>
      </c>
      <c r="D26" s="4" t="s">
        <v>22</v>
      </c>
      <c r="E26" s="4" t="s">
        <v>23</v>
      </c>
      <c r="F26" s="4" t="s">
        <v>24</v>
      </c>
    </row>
    <row r="27" spans="1:6" ht="15.75" thickBot="1" x14ac:dyDescent="0.3">
      <c r="A27" s="32" t="s">
        <v>25</v>
      </c>
      <c r="B27" s="32" t="s">
        <v>26</v>
      </c>
      <c r="C27" s="6" t="s">
        <v>27</v>
      </c>
      <c r="D27" s="6" t="s">
        <v>28</v>
      </c>
      <c r="E27" s="6" t="s">
        <v>29</v>
      </c>
      <c r="F27" s="6" t="s">
        <v>30</v>
      </c>
    </row>
    <row r="28" spans="1:6" ht="15.75" thickBot="1" x14ac:dyDescent="0.3">
      <c r="A28" s="35" t="s">
        <v>31</v>
      </c>
      <c r="B28" s="7" t="s">
        <v>32</v>
      </c>
      <c r="C28" s="24">
        <v>45323</v>
      </c>
      <c r="D28" s="35" t="s">
        <v>33</v>
      </c>
      <c r="E28" s="26" t="s">
        <v>34</v>
      </c>
      <c r="F28" s="27" t="s">
        <v>35</v>
      </c>
    </row>
    <row r="29" spans="1:6" ht="15.75" thickBot="1" x14ac:dyDescent="0.3">
      <c r="A29" s="36"/>
      <c r="B29" s="7" t="s">
        <v>36</v>
      </c>
      <c r="C29" s="25">
        <v>1</v>
      </c>
      <c r="D29" s="36"/>
      <c r="E29" s="26" t="s">
        <v>37</v>
      </c>
      <c r="F29" s="27" t="s">
        <v>38</v>
      </c>
    </row>
    <row r="30" spans="1:6" ht="15.75" thickBot="1" x14ac:dyDescent="0.3">
      <c r="A30" s="36"/>
      <c r="B30" s="7" t="s">
        <v>39</v>
      </c>
      <c r="C30" s="24">
        <v>45381</v>
      </c>
      <c r="D30" s="36"/>
      <c r="E30" s="26" t="s">
        <v>40</v>
      </c>
      <c r="F30" s="27" t="s">
        <v>38</v>
      </c>
    </row>
    <row r="31" spans="1:6" ht="15.75" thickBot="1" x14ac:dyDescent="0.3">
      <c r="A31" s="36"/>
      <c r="B31" s="7" t="s">
        <v>36</v>
      </c>
      <c r="C31" s="25">
        <v>1</v>
      </c>
      <c r="D31" s="36"/>
      <c r="E31" s="26" t="s">
        <v>41</v>
      </c>
      <c r="F31" s="27" t="s">
        <v>38</v>
      </c>
    </row>
    <row r="32" spans="1:6" ht="15.75" thickBot="1" x14ac:dyDescent="0.3"/>
    <row r="33" spans="1:6" ht="15.75" thickBot="1" x14ac:dyDescent="0.3">
      <c r="A33" s="29" t="s">
        <v>42</v>
      </c>
      <c r="B33" s="29" t="s">
        <v>43</v>
      </c>
      <c r="C33" s="29" t="s">
        <v>44</v>
      </c>
      <c r="D33" s="29" t="s">
        <v>45</v>
      </c>
      <c r="E33" s="29" t="s">
        <v>46</v>
      </c>
      <c r="F33" s="29" t="s">
        <v>47</v>
      </c>
    </row>
    <row r="34" spans="1:6" x14ac:dyDescent="0.25">
      <c r="A34" s="30">
        <v>44122107</v>
      </c>
      <c r="B34" s="9" t="s">
        <v>48</v>
      </c>
      <c r="C34" s="28" t="s">
        <v>49</v>
      </c>
      <c r="D34" s="8">
        <v>25</v>
      </c>
      <c r="E34" s="11">
        <v>315</v>
      </c>
      <c r="F34" s="10">
        <v>7875</v>
      </c>
    </row>
    <row r="35" spans="1:6" ht="33.75" x14ac:dyDescent="0.25">
      <c r="A35" s="30">
        <v>14111506</v>
      </c>
      <c r="B35" s="9" t="s">
        <v>50</v>
      </c>
      <c r="C35" s="31" t="s">
        <v>51</v>
      </c>
      <c r="D35" s="8">
        <v>85</v>
      </c>
      <c r="E35" s="11">
        <v>1785</v>
      </c>
      <c r="F35" s="10">
        <v>151725</v>
      </c>
    </row>
    <row r="36" spans="1:6" x14ac:dyDescent="0.25">
      <c r="A36" s="30">
        <v>44122011</v>
      </c>
      <c r="B36" s="9" t="s">
        <v>52</v>
      </c>
      <c r="C36" s="31" t="s">
        <v>49</v>
      </c>
      <c r="D36" s="8">
        <v>10</v>
      </c>
      <c r="E36" s="11">
        <v>1680</v>
      </c>
      <c r="F36" s="10">
        <v>16800</v>
      </c>
    </row>
    <row r="37" spans="1:6" x14ac:dyDescent="0.25">
      <c r="A37" s="30">
        <v>44122011</v>
      </c>
      <c r="B37" s="9" t="s">
        <v>52</v>
      </c>
      <c r="C37" s="31" t="s">
        <v>49</v>
      </c>
      <c r="D37" s="8">
        <v>10</v>
      </c>
      <c r="E37" s="11">
        <v>1785</v>
      </c>
      <c r="F37" s="10">
        <v>17850</v>
      </c>
    </row>
    <row r="38" spans="1:6" x14ac:dyDescent="0.25">
      <c r="A38" s="30">
        <v>44121701</v>
      </c>
      <c r="B38" s="9" t="s">
        <v>53</v>
      </c>
      <c r="C38" s="31" t="s">
        <v>49</v>
      </c>
      <c r="D38" s="8">
        <v>20</v>
      </c>
      <c r="E38" s="11">
        <v>525</v>
      </c>
      <c r="F38" s="10">
        <v>10500</v>
      </c>
    </row>
    <row r="39" spans="1:6" x14ac:dyDescent="0.25">
      <c r="A39" s="30">
        <v>44122003</v>
      </c>
      <c r="B39" s="9" t="s">
        <v>54</v>
      </c>
      <c r="C39" s="31" t="s">
        <v>55</v>
      </c>
      <c r="D39" s="8">
        <v>25</v>
      </c>
      <c r="E39" s="11">
        <v>368</v>
      </c>
      <c r="F39" s="10">
        <v>9200</v>
      </c>
    </row>
    <row r="40" spans="1:6" x14ac:dyDescent="0.25">
      <c r="A40" s="30">
        <v>44122012</v>
      </c>
      <c r="B40" s="9" t="s">
        <v>56</v>
      </c>
      <c r="C40" s="31" t="s">
        <v>55</v>
      </c>
      <c r="D40" s="8">
        <v>15</v>
      </c>
      <c r="E40" s="11">
        <v>158</v>
      </c>
      <c r="F40" s="10">
        <v>2370</v>
      </c>
    </row>
    <row r="41" spans="1:6" ht="22.5" x14ac:dyDescent="0.25">
      <c r="A41" s="30">
        <v>44121706</v>
      </c>
      <c r="B41" s="9" t="s">
        <v>57</v>
      </c>
      <c r="C41" s="31" t="s">
        <v>49</v>
      </c>
      <c r="D41" s="8">
        <v>60</v>
      </c>
      <c r="E41" s="11">
        <v>84</v>
      </c>
      <c r="F41" s="10">
        <v>5040</v>
      </c>
    </row>
    <row r="42" spans="1:6" x14ac:dyDescent="0.25">
      <c r="A42" s="30">
        <v>44121618</v>
      </c>
      <c r="B42" s="9" t="s">
        <v>58</v>
      </c>
      <c r="C42" s="31" t="s">
        <v>55</v>
      </c>
      <c r="D42" s="8">
        <v>30</v>
      </c>
      <c r="E42" s="11">
        <v>27</v>
      </c>
      <c r="F42" s="10">
        <v>810</v>
      </c>
    </row>
    <row r="43" spans="1:6" ht="22.5" x14ac:dyDescent="0.25">
      <c r="A43" s="30">
        <v>44122104</v>
      </c>
      <c r="B43" s="9" t="s">
        <v>59</v>
      </c>
      <c r="C43" s="31" t="s">
        <v>49</v>
      </c>
      <c r="D43" s="8">
        <v>25</v>
      </c>
      <c r="E43" s="11">
        <v>268</v>
      </c>
      <c r="F43" s="10">
        <v>6700</v>
      </c>
    </row>
    <row r="44" spans="1:6" x14ac:dyDescent="0.25">
      <c r="A44" s="30">
        <v>44121708</v>
      </c>
      <c r="B44" s="9" t="s">
        <v>60</v>
      </c>
      <c r="C44" s="31" t="s">
        <v>55</v>
      </c>
      <c r="D44" s="8">
        <v>60</v>
      </c>
      <c r="E44" s="11">
        <v>69</v>
      </c>
      <c r="F44" s="10">
        <v>4140</v>
      </c>
    </row>
    <row r="45" spans="1:6" ht="22.5" x14ac:dyDescent="0.25">
      <c r="A45" s="30">
        <v>44101802</v>
      </c>
      <c r="B45" s="9" t="s">
        <v>61</v>
      </c>
      <c r="C45" s="31" t="s">
        <v>55</v>
      </c>
      <c r="D45" s="8">
        <v>10</v>
      </c>
      <c r="E45" s="11">
        <v>1155</v>
      </c>
      <c r="F45" s="10">
        <v>11550</v>
      </c>
    </row>
    <row r="46" spans="1:6" ht="33.75" x14ac:dyDescent="0.25">
      <c r="A46" s="30">
        <v>44122105</v>
      </c>
      <c r="B46" s="9" t="s">
        <v>62</v>
      </c>
      <c r="C46" s="31" t="s">
        <v>49</v>
      </c>
      <c r="D46" s="8">
        <v>18</v>
      </c>
      <c r="E46" s="11">
        <v>546</v>
      </c>
      <c r="F46" s="10">
        <v>9828</v>
      </c>
    </row>
    <row r="47" spans="1:6" ht="33.75" x14ac:dyDescent="0.25">
      <c r="A47" s="30">
        <v>44103502</v>
      </c>
      <c r="B47" s="9" t="s">
        <v>63</v>
      </c>
      <c r="C47" s="31" t="s">
        <v>49</v>
      </c>
      <c r="D47" s="8">
        <v>60</v>
      </c>
      <c r="E47" s="11">
        <v>37</v>
      </c>
      <c r="F47" s="10">
        <v>2220</v>
      </c>
    </row>
    <row r="48" spans="1:6" ht="22.5" x14ac:dyDescent="0.25">
      <c r="A48" s="30">
        <v>42312011</v>
      </c>
      <c r="B48" s="9" t="s">
        <v>64</v>
      </c>
      <c r="C48" s="31" t="s">
        <v>49</v>
      </c>
      <c r="D48" s="8">
        <v>45</v>
      </c>
      <c r="E48" s="11">
        <v>63</v>
      </c>
      <c r="F48" s="10">
        <v>2835</v>
      </c>
    </row>
    <row r="49" spans="1:6" ht="33.75" x14ac:dyDescent="0.25">
      <c r="A49" s="30">
        <v>45101903</v>
      </c>
      <c r="B49" s="9" t="s">
        <v>65</v>
      </c>
      <c r="C49" s="31" t="s">
        <v>55</v>
      </c>
      <c r="D49" s="8">
        <v>15</v>
      </c>
      <c r="E49" s="11">
        <v>630</v>
      </c>
      <c r="F49" s="10">
        <v>9450</v>
      </c>
    </row>
    <row r="50" spans="1:6" ht="22.5" x14ac:dyDescent="0.25">
      <c r="A50" s="30">
        <v>44111516</v>
      </c>
      <c r="B50" s="9" t="s">
        <v>66</v>
      </c>
      <c r="C50" s="31" t="s">
        <v>55</v>
      </c>
      <c r="D50" s="8">
        <v>10</v>
      </c>
      <c r="E50" s="11">
        <v>1172</v>
      </c>
      <c r="F50" s="10">
        <v>11720</v>
      </c>
    </row>
    <row r="51" spans="1:6" x14ac:dyDescent="0.25">
      <c r="A51" s="30">
        <v>12171703</v>
      </c>
      <c r="B51" s="9" t="s">
        <v>67</v>
      </c>
      <c r="C51" s="31" t="s">
        <v>55</v>
      </c>
      <c r="D51" s="8">
        <v>20</v>
      </c>
      <c r="E51" s="11">
        <v>126</v>
      </c>
      <c r="F51" s="10">
        <v>2520</v>
      </c>
    </row>
    <row r="52" spans="1:6" ht="22.5" x14ac:dyDescent="0.25">
      <c r="A52" s="30">
        <v>31201512</v>
      </c>
      <c r="B52" s="9" t="s">
        <v>68</v>
      </c>
      <c r="C52" s="31" t="s">
        <v>55</v>
      </c>
      <c r="D52" s="8">
        <v>20</v>
      </c>
      <c r="E52" s="11">
        <v>95</v>
      </c>
      <c r="F52" s="10">
        <v>1900</v>
      </c>
    </row>
    <row r="53" spans="1:6" x14ac:dyDescent="0.25">
      <c r="A53" s="30">
        <v>44121701</v>
      </c>
      <c r="B53" s="9" t="s">
        <v>53</v>
      </c>
      <c r="C53" s="31" t="s">
        <v>49</v>
      </c>
      <c r="D53" s="8">
        <v>50</v>
      </c>
      <c r="E53" s="11">
        <v>95</v>
      </c>
      <c r="F53" s="10">
        <v>4750</v>
      </c>
    </row>
    <row r="54" spans="1:6" ht="33.75" x14ac:dyDescent="0.25">
      <c r="A54" s="30">
        <v>60121532</v>
      </c>
      <c r="B54" s="9" t="s">
        <v>69</v>
      </c>
      <c r="C54" s="31" t="s">
        <v>55</v>
      </c>
      <c r="D54" s="8">
        <v>30</v>
      </c>
      <c r="E54" s="11">
        <v>27</v>
      </c>
      <c r="F54" s="10">
        <v>810</v>
      </c>
    </row>
    <row r="55" spans="1:6" ht="33.75" x14ac:dyDescent="0.25">
      <c r="A55" s="30">
        <v>44121631</v>
      </c>
      <c r="B55" s="9" t="s">
        <v>70</v>
      </c>
      <c r="C55" s="31" t="s">
        <v>55</v>
      </c>
      <c r="D55" s="8">
        <v>25</v>
      </c>
      <c r="E55" s="11">
        <v>263</v>
      </c>
      <c r="F55" s="10">
        <v>6575</v>
      </c>
    </row>
    <row r="56" spans="1:6" ht="33.75" x14ac:dyDescent="0.25">
      <c r="A56" s="30">
        <v>44112005</v>
      </c>
      <c r="B56" s="9" t="s">
        <v>71</v>
      </c>
      <c r="C56" s="31" t="s">
        <v>55</v>
      </c>
      <c r="D56" s="8">
        <v>25</v>
      </c>
      <c r="E56" s="11">
        <v>368</v>
      </c>
      <c r="F56" s="10">
        <v>9200</v>
      </c>
    </row>
    <row r="57" spans="1:6" x14ac:dyDescent="0.25">
      <c r="A57" s="30">
        <v>41111604</v>
      </c>
      <c r="B57" s="9" t="s">
        <v>72</v>
      </c>
      <c r="C57" s="31" t="s">
        <v>55</v>
      </c>
      <c r="D57" s="8">
        <v>60</v>
      </c>
      <c r="E57" s="11">
        <v>27</v>
      </c>
      <c r="F57" s="10">
        <v>1620</v>
      </c>
    </row>
    <row r="58" spans="1:6" x14ac:dyDescent="0.25">
      <c r="A58" s="30">
        <v>44122010</v>
      </c>
      <c r="B58" s="9" t="s">
        <v>73</v>
      </c>
      <c r="C58" s="28" t="s">
        <v>74</v>
      </c>
      <c r="D58" s="8">
        <v>25</v>
      </c>
      <c r="E58" s="11">
        <v>27</v>
      </c>
      <c r="F58" s="10">
        <v>675</v>
      </c>
    </row>
    <row r="59" spans="1:6" x14ac:dyDescent="0.25">
      <c r="A59" s="30">
        <v>44121503</v>
      </c>
      <c r="B59" s="9" t="s">
        <v>75</v>
      </c>
      <c r="C59" s="31" t="s">
        <v>49</v>
      </c>
      <c r="D59" s="8">
        <v>8</v>
      </c>
      <c r="E59" s="11">
        <v>473</v>
      </c>
      <c r="F59" s="10">
        <v>3784</v>
      </c>
    </row>
    <row r="60" spans="1:6" ht="22.5" x14ac:dyDescent="0.25">
      <c r="A60" s="30">
        <v>82121902</v>
      </c>
      <c r="B60" s="9" t="s">
        <v>76</v>
      </c>
      <c r="C60" s="31" t="s">
        <v>49</v>
      </c>
      <c r="D60" s="8">
        <v>40</v>
      </c>
      <c r="E60" s="11">
        <v>84</v>
      </c>
      <c r="F60" s="10">
        <v>3360</v>
      </c>
    </row>
    <row r="61" spans="1:6" ht="22.5" x14ac:dyDescent="0.25">
      <c r="A61" s="30">
        <v>14111530</v>
      </c>
      <c r="B61" s="9" t="s">
        <v>77</v>
      </c>
      <c r="C61" s="31" t="s">
        <v>49</v>
      </c>
      <c r="D61" s="8">
        <v>30</v>
      </c>
      <c r="E61" s="11">
        <v>32</v>
      </c>
      <c r="F61" s="10">
        <v>960</v>
      </c>
    </row>
    <row r="62" spans="1:6" ht="22.5" x14ac:dyDescent="0.25">
      <c r="A62" s="30">
        <v>12181501</v>
      </c>
      <c r="B62" s="9" t="s">
        <v>78</v>
      </c>
      <c r="C62" s="31" t="s">
        <v>55</v>
      </c>
      <c r="D62" s="8">
        <v>22</v>
      </c>
      <c r="E62" s="11">
        <v>126</v>
      </c>
      <c r="F62" s="10">
        <v>2772</v>
      </c>
    </row>
    <row r="63" spans="1:6" ht="33.75" x14ac:dyDescent="0.25">
      <c r="A63" s="30">
        <v>44103502</v>
      </c>
      <c r="B63" s="9" t="s">
        <v>63</v>
      </c>
      <c r="C63" s="31" t="s">
        <v>55</v>
      </c>
      <c r="D63" s="8">
        <v>50</v>
      </c>
      <c r="E63" s="11">
        <v>126</v>
      </c>
      <c r="F63" s="10">
        <v>6300</v>
      </c>
    </row>
    <row r="64" spans="1:6" x14ac:dyDescent="0.25">
      <c r="A64" s="30">
        <v>14111524</v>
      </c>
      <c r="B64" s="9" t="s">
        <v>79</v>
      </c>
      <c r="C64" s="31" t="s">
        <v>55</v>
      </c>
      <c r="D64" s="8">
        <v>25</v>
      </c>
      <c r="E64" s="11">
        <v>158</v>
      </c>
      <c r="F64" s="10">
        <v>3950</v>
      </c>
    </row>
    <row r="65" spans="1:6" ht="22.5" x14ac:dyDescent="0.25">
      <c r="A65" s="30">
        <v>55121606</v>
      </c>
      <c r="B65" s="9" t="s">
        <v>80</v>
      </c>
      <c r="C65" s="31" t="s">
        <v>49</v>
      </c>
      <c r="D65" s="8">
        <v>50</v>
      </c>
      <c r="E65" s="11">
        <v>63</v>
      </c>
      <c r="F65" s="10">
        <v>3150</v>
      </c>
    </row>
    <row r="66" spans="1:6" ht="33.75" x14ac:dyDescent="0.25">
      <c r="A66" s="30">
        <v>24102202</v>
      </c>
      <c r="B66" s="9" t="s">
        <v>81</v>
      </c>
      <c r="C66" s="31" t="s">
        <v>55</v>
      </c>
      <c r="D66" s="8">
        <v>24</v>
      </c>
      <c r="E66" s="11">
        <v>473</v>
      </c>
      <c r="F66" s="10">
        <v>11352</v>
      </c>
    </row>
    <row r="67" spans="1:6" ht="22.5" x14ac:dyDescent="0.25">
      <c r="A67" s="30">
        <v>44121802</v>
      </c>
      <c r="B67" s="9" t="s">
        <v>82</v>
      </c>
      <c r="C67" s="31" t="s">
        <v>55</v>
      </c>
      <c r="D67" s="8">
        <v>20</v>
      </c>
      <c r="E67" s="11">
        <v>53</v>
      </c>
      <c r="F67" s="10">
        <v>1060</v>
      </c>
    </row>
    <row r="68" spans="1:6" ht="45" x14ac:dyDescent="0.25">
      <c r="A68" s="30">
        <v>44121628</v>
      </c>
      <c r="B68" s="9" t="s">
        <v>83</v>
      </c>
      <c r="C68" s="31" t="s">
        <v>55</v>
      </c>
      <c r="D68" s="8">
        <v>25</v>
      </c>
      <c r="E68" s="11">
        <v>74</v>
      </c>
      <c r="F68" s="10">
        <v>1850</v>
      </c>
    </row>
    <row r="69" spans="1:6" ht="45" x14ac:dyDescent="0.25">
      <c r="A69" s="30">
        <v>44121621</v>
      </c>
      <c r="B69" s="9" t="s">
        <v>84</v>
      </c>
      <c r="C69" s="31" t="s">
        <v>55</v>
      </c>
      <c r="D69" s="8">
        <v>25</v>
      </c>
      <c r="E69" s="11">
        <v>127</v>
      </c>
      <c r="F69" s="10">
        <v>3175</v>
      </c>
    </row>
    <row r="70" spans="1:6" x14ac:dyDescent="0.25">
      <c r="A70" s="30">
        <v>31201505</v>
      </c>
      <c r="B70" s="9" t="s">
        <v>85</v>
      </c>
      <c r="C70" s="31" t="s">
        <v>55</v>
      </c>
      <c r="D70" s="8">
        <v>17</v>
      </c>
      <c r="E70" s="11">
        <v>100</v>
      </c>
      <c r="F70" s="10">
        <v>1700</v>
      </c>
    </row>
    <row r="71" spans="1:6" ht="22.5" x14ac:dyDescent="0.25">
      <c r="A71" s="30">
        <v>44121635</v>
      </c>
      <c r="B71" s="9" t="s">
        <v>86</v>
      </c>
      <c r="C71" s="31" t="s">
        <v>55</v>
      </c>
      <c r="D71" s="8">
        <v>22</v>
      </c>
      <c r="E71" s="11">
        <v>127</v>
      </c>
      <c r="F71" s="10">
        <v>2794</v>
      </c>
    </row>
    <row r="72" spans="1:6" x14ac:dyDescent="0.25">
      <c r="A72" s="1"/>
      <c r="B72" s="1"/>
      <c r="C72" s="1"/>
      <c r="D72" s="1"/>
      <c r="E72" s="13" t="s">
        <v>87</v>
      </c>
      <c r="F72" s="14">
        <v>354870</v>
      </c>
    </row>
    <row r="73" spans="1:6" ht="15.75" thickBot="1" x14ac:dyDescent="0.3">
      <c r="A73" s="1"/>
      <c r="B73" s="1"/>
      <c r="C73" s="1"/>
      <c r="D73" s="1"/>
      <c r="E73" s="1"/>
      <c r="F73" s="1"/>
    </row>
    <row r="74" spans="1:6" ht="34.5" thickBot="1" x14ac:dyDescent="0.3">
      <c r="A74" s="4" t="s">
        <v>19</v>
      </c>
      <c r="B74" s="4" t="s">
        <v>20</v>
      </c>
      <c r="C74" s="4" t="s">
        <v>21</v>
      </c>
      <c r="D74" s="4" t="s">
        <v>22</v>
      </c>
      <c r="E74" s="4" t="s">
        <v>23</v>
      </c>
      <c r="F74" s="4" t="s">
        <v>24</v>
      </c>
    </row>
    <row r="75" spans="1:6" ht="15.75" thickBot="1" x14ac:dyDescent="0.3">
      <c r="A75" s="32" t="s">
        <v>88</v>
      </c>
      <c r="B75" s="32" t="s">
        <v>89</v>
      </c>
      <c r="C75" s="6" t="s">
        <v>27</v>
      </c>
      <c r="D75" s="6" t="s">
        <v>90</v>
      </c>
      <c r="E75" s="6" t="s">
        <v>29</v>
      </c>
      <c r="F75" s="6"/>
    </row>
    <row r="76" spans="1:6" ht="15.75" thickBot="1" x14ac:dyDescent="0.3">
      <c r="A76" s="35" t="s">
        <v>31</v>
      </c>
      <c r="B76" s="7" t="s">
        <v>32</v>
      </c>
      <c r="C76" s="15">
        <v>45323</v>
      </c>
      <c r="D76" s="35" t="s">
        <v>33</v>
      </c>
      <c r="E76" s="7" t="s">
        <v>34</v>
      </c>
      <c r="F76" s="6"/>
    </row>
    <row r="77" spans="1:6" ht="15.75" thickBot="1" x14ac:dyDescent="0.3">
      <c r="A77" s="36"/>
      <c r="B77" s="7" t="s">
        <v>36</v>
      </c>
      <c r="C77" s="5">
        <v>1</v>
      </c>
      <c r="D77" s="36"/>
      <c r="E77" s="7" t="s">
        <v>37</v>
      </c>
      <c r="F77" s="6"/>
    </row>
    <row r="78" spans="1:6" ht="15.75" thickBot="1" x14ac:dyDescent="0.3">
      <c r="A78" s="36"/>
      <c r="B78" s="7" t="s">
        <v>39</v>
      </c>
      <c r="C78" s="15">
        <v>45381</v>
      </c>
      <c r="D78" s="36"/>
      <c r="E78" s="7" t="s">
        <v>40</v>
      </c>
      <c r="F78" s="6"/>
    </row>
    <row r="79" spans="1:6" ht="15.75" thickBot="1" x14ac:dyDescent="0.3">
      <c r="A79" s="36"/>
      <c r="B79" s="7" t="s">
        <v>36</v>
      </c>
      <c r="C79" s="5">
        <v>1</v>
      </c>
      <c r="D79" s="36"/>
      <c r="E79" s="7" t="s">
        <v>41</v>
      </c>
      <c r="F79" s="6"/>
    </row>
    <row r="80" spans="1:6" ht="15.75" thickBot="1" x14ac:dyDescent="0.3">
      <c r="A80" s="2"/>
      <c r="B80" s="2"/>
      <c r="C80" s="2"/>
      <c r="D80" s="2"/>
      <c r="E80" s="2"/>
      <c r="F80" s="2"/>
    </row>
    <row r="81" spans="1:6" ht="15.75" thickBot="1" x14ac:dyDescent="0.3">
      <c r="A81" s="12" t="s">
        <v>42</v>
      </c>
      <c r="B81" s="12" t="s">
        <v>43</v>
      </c>
      <c r="C81" s="12" t="s">
        <v>44</v>
      </c>
      <c r="D81" s="12" t="s">
        <v>45</v>
      </c>
      <c r="E81" s="12" t="s">
        <v>46</v>
      </c>
      <c r="F81" s="12" t="s">
        <v>47</v>
      </c>
    </row>
    <row r="82" spans="1:6" x14ac:dyDescent="0.25">
      <c r="A82" s="8">
        <v>15101506</v>
      </c>
      <c r="B82" s="9" t="s">
        <v>91</v>
      </c>
      <c r="C82" s="8" t="s">
        <v>92</v>
      </c>
      <c r="D82" s="8">
        <v>9198</v>
      </c>
      <c r="E82" s="11">
        <v>274.5</v>
      </c>
      <c r="F82" s="10">
        <v>2524851</v>
      </c>
    </row>
    <row r="83" spans="1:6" ht="22.5" x14ac:dyDescent="0.25">
      <c r="A83" s="8">
        <v>15101505</v>
      </c>
      <c r="B83" s="9" t="s">
        <v>93</v>
      </c>
      <c r="C83" s="33" t="s">
        <v>92</v>
      </c>
      <c r="D83" s="8">
        <v>941</v>
      </c>
      <c r="E83" s="11">
        <v>239.1</v>
      </c>
      <c r="F83" s="10">
        <v>224993.1</v>
      </c>
    </row>
    <row r="84" spans="1:6" ht="22.5" x14ac:dyDescent="0.25">
      <c r="A84" s="8">
        <v>15111510</v>
      </c>
      <c r="B84" s="9" t="s">
        <v>94</v>
      </c>
      <c r="C84" s="33" t="s">
        <v>92</v>
      </c>
      <c r="D84" s="8">
        <v>158</v>
      </c>
      <c r="E84" s="11">
        <v>132.6</v>
      </c>
      <c r="F84" s="10">
        <v>20950.8</v>
      </c>
    </row>
    <row r="85" spans="1:6" x14ac:dyDescent="0.25">
      <c r="A85" s="2"/>
      <c r="B85" s="2"/>
      <c r="C85" s="2"/>
      <c r="D85" s="2"/>
      <c r="E85" s="13" t="s">
        <v>87</v>
      </c>
      <c r="F85" s="14">
        <v>2770794.9</v>
      </c>
    </row>
    <row r="86" spans="1:6" ht="15.75" thickBot="1" x14ac:dyDescent="0.3">
      <c r="A86" s="1"/>
      <c r="B86" s="1"/>
      <c r="C86" s="1"/>
      <c r="D86" s="1"/>
      <c r="E86" s="1"/>
      <c r="F86" s="1"/>
    </row>
    <row r="87" spans="1:6" ht="34.5" thickBot="1" x14ac:dyDescent="0.3">
      <c r="A87" s="4" t="s">
        <v>19</v>
      </c>
      <c r="B87" s="4" t="s">
        <v>20</v>
      </c>
      <c r="C87" s="4" t="s">
        <v>21</v>
      </c>
      <c r="D87" s="4" t="s">
        <v>22</v>
      </c>
      <c r="E87" s="4" t="s">
        <v>23</v>
      </c>
      <c r="F87" s="4" t="s">
        <v>24</v>
      </c>
    </row>
    <row r="88" spans="1:6" ht="15.75" thickBot="1" x14ac:dyDescent="0.3">
      <c r="A88" s="6" t="s">
        <v>95</v>
      </c>
      <c r="B88" s="6" t="s">
        <v>96</v>
      </c>
      <c r="C88" s="6" t="s">
        <v>27</v>
      </c>
      <c r="D88" s="6" t="s">
        <v>28</v>
      </c>
      <c r="E88" s="6" t="s">
        <v>29</v>
      </c>
      <c r="F88" s="6"/>
    </row>
    <row r="89" spans="1:6" ht="15.75" thickBot="1" x14ac:dyDescent="0.3">
      <c r="A89" s="35" t="s">
        <v>31</v>
      </c>
      <c r="B89" s="7" t="s">
        <v>32</v>
      </c>
      <c r="C89" s="15">
        <v>45323</v>
      </c>
      <c r="D89" s="35" t="s">
        <v>33</v>
      </c>
      <c r="E89" s="7" t="s">
        <v>34</v>
      </c>
      <c r="F89" s="6"/>
    </row>
    <row r="90" spans="1:6" ht="15.75" thickBot="1" x14ac:dyDescent="0.3">
      <c r="A90" s="36"/>
      <c r="B90" s="7" t="s">
        <v>36</v>
      </c>
      <c r="C90" s="5">
        <v>1</v>
      </c>
      <c r="D90" s="36"/>
      <c r="E90" s="7" t="s">
        <v>37</v>
      </c>
      <c r="F90" s="6"/>
    </row>
    <row r="91" spans="1:6" ht="15.75" thickBot="1" x14ac:dyDescent="0.3">
      <c r="A91" s="36"/>
      <c r="B91" s="7" t="s">
        <v>39</v>
      </c>
      <c r="C91" s="15">
        <v>45381</v>
      </c>
      <c r="D91" s="36"/>
      <c r="E91" s="7" t="s">
        <v>40</v>
      </c>
      <c r="F91" s="6"/>
    </row>
    <row r="92" spans="1:6" ht="15.75" thickBot="1" x14ac:dyDescent="0.3">
      <c r="A92" s="36"/>
      <c r="B92" s="7" t="s">
        <v>36</v>
      </c>
      <c r="C92" s="5">
        <v>1</v>
      </c>
      <c r="D92" s="36"/>
      <c r="E92" s="7" t="s">
        <v>41</v>
      </c>
      <c r="F92" s="6"/>
    </row>
    <row r="93" spans="1:6" ht="15.75" thickBot="1" x14ac:dyDescent="0.3">
      <c r="A93" s="2"/>
      <c r="B93" s="2"/>
      <c r="C93" s="2"/>
      <c r="D93" s="2"/>
      <c r="E93" s="2"/>
      <c r="F93" s="2"/>
    </row>
    <row r="94" spans="1:6" ht="15.75" thickBot="1" x14ac:dyDescent="0.3">
      <c r="A94" s="12" t="s">
        <v>42</v>
      </c>
      <c r="B94" s="12" t="s">
        <v>43</v>
      </c>
      <c r="C94" s="12" t="s">
        <v>44</v>
      </c>
      <c r="D94" s="12" t="s">
        <v>45</v>
      </c>
      <c r="E94" s="12" t="s">
        <v>46</v>
      </c>
      <c r="F94" s="12" t="s">
        <v>47</v>
      </c>
    </row>
    <row r="95" spans="1:6" ht="33.75" x14ac:dyDescent="0.25">
      <c r="A95" s="8">
        <v>25172502</v>
      </c>
      <c r="B95" s="9" t="s">
        <v>97</v>
      </c>
      <c r="C95" s="8" t="s">
        <v>55</v>
      </c>
      <c r="D95" s="8">
        <v>12</v>
      </c>
      <c r="E95" s="11">
        <v>12500</v>
      </c>
      <c r="F95" s="10">
        <v>150000</v>
      </c>
    </row>
    <row r="96" spans="1:6" ht="33.75" x14ac:dyDescent="0.25">
      <c r="A96" s="8">
        <v>25172502</v>
      </c>
      <c r="B96" s="9" t="s">
        <v>97</v>
      </c>
      <c r="C96" s="33" t="s">
        <v>55</v>
      </c>
      <c r="D96" s="8">
        <v>12</v>
      </c>
      <c r="E96" s="11">
        <v>12500</v>
      </c>
      <c r="F96" s="10">
        <v>150000</v>
      </c>
    </row>
    <row r="97" spans="1:6" x14ac:dyDescent="0.25">
      <c r="A97" s="2"/>
      <c r="B97" s="2"/>
      <c r="C97" s="2"/>
      <c r="D97" s="2"/>
      <c r="E97" s="13" t="s">
        <v>87</v>
      </c>
      <c r="F97" s="14">
        <v>300000</v>
      </c>
    </row>
    <row r="98" spans="1:6" ht="15.75" thickBot="1" x14ac:dyDescent="0.3">
      <c r="A98" s="1"/>
      <c r="B98" s="1"/>
      <c r="C98" s="1"/>
      <c r="D98" s="1"/>
      <c r="E98" s="1"/>
      <c r="F98" s="1"/>
    </row>
    <row r="99" spans="1:6" ht="34.5" thickBot="1" x14ac:dyDescent="0.3">
      <c r="A99" s="4" t="s">
        <v>19</v>
      </c>
      <c r="B99" s="4" t="s">
        <v>20</v>
      </c>
      <c r="C99" s="4" t="s">
        <v>21</v>
      </c>
      <c r="D99" s="4" t="s">
        <v>22</v>
      </c>
      <c r="E99" s="4" t="s">
        <v>23</v>
      </c>
      <c r="F99" s="4" t="s">
        <v>24</v>
      </c>
    </row>
    <row r="100" spans="1:6" ht="15.75" thickBot="1" x14ac:dyDescent="0.3">
      <c r="A100" s="32" t="s">
        <v>98</v>
      </c>
      <c r="B100" s="32" t="s">
        <v>99</v>
      </c>
      <c r="C100" s="6" t="s">
        <v>27</v>
      </c>
      <c r="D100" s="6" t="s">
        <v>28</v>
      </c>
      <c r="E100" s="32" t="s">
        <v>29</v>
      </c>
      <c r="F100" s="6"/>
    </row>
    <row r="101" spans="1:6" ht="15.75" thickBot="1" x14ac:dyDescent="0.3">
      <c r="A101" s="35" t="s">
        <v>31</v>
      </c>
      <c r="B101" s="7" t="s">
        <v>32</v>
      </c>
      <c r="C101" s="15">
        <v>45323</v>
      </c>
      <c r="D101" s="35" t="s">
        <v>33</v>
      </c>
      <c r="E101" s="7" t="s">
        <v>34</v>
      </c>
      <c r="F101" s="6"/>
    </row>
    <row r="102" spans="1:6" ht="15.75" thickBot="1" x14ac:dyDescent="0.3">
      <c r="A102" s="36"/>
      <c r="B102" s="7" t="s">
        <v>36</v>
      </c>
      <c r="C102" s="5">
        <v>1</v>
      </c>
      <c r="D102" s="36"/>
      <c r="E102" s="7" t="s">
        <v>37</v>
      </c>
      <c r="F102" s="6"/>
    </row>
    <row r="103" spans="1:6" ht="15.75" thickBot="1" x14ac:dyDescent="0.3">
      <c r="A103" s="36"/>
      <c r="B103" s="7" t="s">
        <v>39</v>
      </c>
      <c r="C103" s="15">
        <v>45381</v>
      </c>
      <c r="D103" s="36"/>
      <c r="E103" s="7" t="s">
        <v>40</v>
      </c>
      <c r="F103" s="6"/>
    </row>
    <row r="104" spans="1:6" ht="15.75" thickBot="1" x14ac:dyDescent="0.3">
      <c r="A104" s="36"/>
      <c r="B104" s="7" t="s">
        <v>36</v>
      </c>
      <c r="C104" s="5">
        <v>1</v>
      </c>
      <c r="D104" s="36"/>
      <c r="E104" s="7" t="s">
        <v>41</v>
      </c>
      <c r="F104" s="6"/>
    </row>
    <row r="105" spans="1:6" ht="15.75" thickBot="1" x14ac:dyDescent="0.3">
      <c r="A105" s="2"/>
      <c r="B105" s="2"/>
      <c r="C105" s="2"/>
      <c r="D105" s="2"/>
      <c r="E105" s="2"/>
      <c r="F105" s="2"/>
    </row>
    <row r="106" spans="1:6" ht="15.75" thickBot="1" x14ac:dyDescent="0.3">
      <c r="A106" s="12" t="s">
        <v>42</v>
      </c>
      <c r="B106" s="12" t="s">
        <v>43</v>
      </c>
      <c r="C106" s="12" t="s">
        <v>44</v>
      </c>
      <c r="D106" s="12" t="s">
        <v>45</v>
      </c>
      <c r="E106" s="12" t="s">
        <v>46</v>
      </c>
      <c r="F106" s="12" t="s">
        <v>47</v>
      </c>
    </row>
    <row r="107" spans="1:6" ht="33.75" x14ac:dyDescent="0.25">
      <c r="A107" s="8">
        <v>47131803</v>
      </c>
      <c r="B107" s="9" t="s">
        <v>100</v>
      </c>
      <c r="C107" s="8" t="s">
        <v>55</v>
      </c>
      <c r="D107" s="8">
        <v>25</v>
      </c>
      <c r="E107" s="11">
        <v>550</v>
      </c>
      <c r="F107" s="10">
        <v>13750</v>
      </c>
    </row>
    <row r="108" spans="1:6" ht="22.5" x14ac:dyDescent="0.25">
      <c r="A108" s="8">
        <v>47131801</v>
      </c>
      <c r="B108" s="9" t="s">
        <v>101</v>
      </c>
      <c r="C108" s="33" t="s">
        <v>55</v>
      </c>
      <c r="D108" s="8">
        <v>30</v>
      </c>
      <c r="E108" s="11">
        <v>440</v>
      </c>
      <c r="F108" s="10">
        <v>13200</v>
      </c>
    </row>
    <row r="109" spans="1:6" ht="33.75" x14ac:dyDescent="0.25">
      <c r="A109" s="8">
        <v>47131805</v>
      </c>
      <c r="B109" s="9" t="s">
        <v>102</v>
      </c>
      <c r="C109" s="33" t="s">
        <v>55</v>
      </c>
      <c r="D109" s="8">
        <v>25</v>
      </c>
      <c r="E109" s="11">
        <v>935</v>
      </c>
      <c r="F109" s="10">
        <v>23375</v>
      </c>
    </row>
    <row r="110" spans="1:6" x14ac:dyDescent="0.25">
      <c r="A110" s="8">
        <v>47131604</v>
      </c>
      <c r="B110" s="9" t="s">
        <v>103</v>
      </c>
      <c r="C110" s="8" t="s">
        <v>55</v>
      </c>
      <c r="D110" s="8">
        <v>15</v>
      </c>
      <c r="E110" s="11">
        <v>440</v>
      </c>
      <c r="F110" s="10">
        <v>6600</v>
      </c>
    </row>
    <row r="111" spans="1:6" ht="22.5" x14ac:dyDescent="0.25">
      <c r="A111" s="8">
        <v>47121701</v>
      </c>
      <c r="B111" s="9" t="s">
        <v>104</v>
      </c>
      <c r="C111" s="8" t="s">
        <v>74</v>
      </c>
      <c r="D111" s="8">
        <v>60</v>
      </c>
      <c r="E111" s="11">
        <v>440</v>
      </c>
      <c r="F111" s="10">
        <v>26400</v>
      </c>
    </row>
    <row r="112" spans="1:6" ht="22.5" x14ac:dyDescent="0.25">
      <c r="A112" s="8">
        <v>14111703</v>
      </c>
      <c r="B112" s="9" t="s">
        <v>105</v>
      </c>
      <c r="C112" s="33" t="s">
        <v>55</v>
      </c>
      <c r="D112" s="8">
        <v>50</v>
      </c>
      <c r="E112" s="11">
        <v>1980</v>
      </c>
      <c r="F112" s="10">
        <v>99000</v>
      </c>
    </row>
    <row r="113" spans="1:6" x14ac:dyDescent="0.25">
      <c r="A113" s="8">
        <v>10191509</v>
      </c>
      <c r="B113" s="9" t="s">
        <v>106</v>
      </c>
      <c r="C113" s="33" t="s">
        <v>55</v>
      </c>
      <c r="D113" s="8">
        <v>24</v>
      </c>
      <c r="E113" s="11">
        <v>1650</v>
      </c>
      <c r="F113" s="10">
        <v>39600</v>
      </c>
    </row>
    <row r="114" spans="1:6" ht="22.5" x14ac:dyDescent="0.25">
      <c r="A114" s="8">
        <v>53131626</v>
      </c>
      <c r="B114" s="9" t="s">
        <v>107</v>
      </c>
      <c r="C114" s="33" t="s">
        <v>55</v>
      </c>
      <c r="D114" s="8">
        <v>24</v>
      </c>
      <c r="E114" s="11">
        <v>660</v>
      </c>
      <c r="F114" s="10">
        <v>15840</v>
      </c>
    </row>
    <row r="115" spans="1:6" ht="22.5" x14ac:dyDescent="0.25">
      <c r="A115" s="8">
        <v>47131810</v>
      </c>
      <c r="B115" s="9" t="s">
        <v>108</v>
      </c>
      <c r="C115" s="33" t="s">
        <v>55</v>
      </c>
      <c r="D115" s="8">
        <v>24</v>
      </c>
      <c r="E115" s="11">
        <v>440</v>
      </c>
      <c r="F115" s="10">
        <v>10560</v>
      </c>
    </row>
    <row r="116" spans="1:6" ht="22.5" x14ac:dyDescent="0.25">
      <c r="A116" s="8">
        <v>47131608</v>
      </c>
      <c r="B116" s="9" t="s">
        <v>109</v>
      </c>
      <c r="C116" s="33" t="s">
        <v>55</v>
      </c>
      <c r="D116" s="8">
        <v>10</v>
      </c>
      <c r="E116" s="11">
        <v>165</v>
      </c>
      <c r="F116" s="10">
        <v>1650</v>
      </c>
    </row>
    <row r="117" spans="1:6" x14ac:dyDescent="0.25">
      <c r="A117" s="8">
        <v>52121602</v>
      </c>
      <c r="B117" s="9" t="s">
        <v>110</v>
      </c>
      <c r="C117" s="33" t="s">
        <v>74</v>
      </c>
      <c r="D117" s="8">
        <v>40</v>
      </c>
      <c r="E117" s="11">
        <v>440</v>
      </c>
      <c r="F117" s="10">
        <v>17600</v>
      </c>
    </row>
    <row r="118" spans="1:6" ht="22.5" x14ac:dyDescent="0.25">
      <c r="A118" s="8">
        <v>24101510</v>
      </c>
      <c r="B118" s="9" t="s">
        <v>111</v>
      </c>
      <c r="C118" s="33" t="s">
        <v>55</v>
      </c>
      <c r="D118" s="8">
        <v>12</v>
      </c>
      <c r="E118" s="11">
        <v>770</v>
      </c>
      <c r="F118" s="10">
        <v>9240</v>
      </c>
    </row>
    <row r="119" spans="1:6" x14ac:dyDescent="0.25">
      <c r="A119" s="8">
        <v>52121602</v>
      </c>
      <c r="B119" s="9" t="s">
        <v>110</v>
      </c>
      <c r="C119" s="33" t="s">
        <v>74</v>
      </c>
      <c r="D119" s="8">
        <v>40</v>
      </c>
      <c r="E119" s="11">
        <v>275</v>
      </c>
      <c r="F119" s="10">
        <v>11000</v>
      </c>
    </row>
    <row r="120" spans="1:6" x14ac:dyDescent="0.25">
      <c r="A120" s="8">
        <v>14111704</v>
      </c>
      <c r="B120" s="9" t="s">
        <v>112</v>
      </c>
      <c r="C120" s="33" t="s">
        <v>55</v>
      </c>
      <c r="D120" s="8">
        <v>75</v>
      </c>
      <c r="E120" s="11">
        <v>770</v>
      </c>
      <c r="F120" s="10">
        <v>57750</v>
      </c>
    </row>
    <row r="121" spans="1:6" ht="22.5" x14ac:dyDescent="0.25">
      <c r="A121" s="8">
        <v>47131618</v>
      </c>
      <c r="B121" s="9" t="s">
        <v>113</v>
      </c>
      <c r="C121" s="33" t="s">
        <v>55</v>
      </c>
      <c r="D121" s="8">
        <v>10</v>
      </c>
      <c r="E121" s="11">
        <v>220</v>
      </c>
      <c r="F121" s="10">
        <v>2200</v>
      </c>
    </row>
    <row r="122" spans="1:6" x14ac:dyDescent="0.25">
      <c r="A122" s="8">
        <v>41121813</v>
      </c>
      <c r="B122" s="9" t="s">
        <v>114</v>
      </c>
      <c r="C122" s="33" t="s">
        <v>55</v>
      </c>
      <c r="D122" s="8">
        <v>13</v>
      </c>
      <c r="E122" s="11">
        <v>578</v>
      </c>
      <c r="F122" s="10">
        <v>7514</v>
      </c>
    </row>
    <row r="123" spans="1:6" ht="22.5" x14ac:dyDescent="0.25">
      <c r="A123" s="8">
        <v>47131618</v>
      </c>
      <c r="B123" s="9" t="s">
        <v>113</v>
      </c>
      <c r="C123" s="33" t="s">
        <v>55</v>
      </c>
      <c r="D123" s="8">
        <v>12</v>
      </c>
      <c r="E123" s="11">
        <v>220</v>
      </c>
      <c r="F123" s="10">
        <v>2640</v>
      </c>
    </row>
    <row r="124" spans="1:6" ht="33.75" x14ac:dyDescent="0.25">
      <c r="A124" s="8">
        <v>53131624</v>
      </c>
      <c r="B124" s="9" t="s">
        <v>115</v>
      </c>
      <c r="C124" s="33" t="s">
        <v>55</v>
      </c>
      <c r="D124" s="8">
        <v>10</v>
      </c>
      <c r="E124" s="11">
        <v>175</v>
      </c>
      <c r="F124" s="10">
        <v>1750</v>
      </c>
    </row>
    <row r="125" spans="1:6" ht="33.75" x14ac:dyDescent="0.25">
      <c r="A125" s="8">
        <v>47131502</v>
      </c>
      <c r="B125" s="9" t="s">
        <v>116</v>
      </c>
      <c r="C125" s="33" t="s">
        <v>74</v>
      </c>
      <c r="D125" s="8">
        <v>24</v>
      </c>
      <c r="E125" s="11">
        <v>150</v>
      </c>
      <c r="F125" s="10">
        <v>3600</v>
      </c>
    </row>
    <row r="126" spans="1:6" ht="22.5" x14ac:dyDescent="0.25">
      <c r="A126" s="8">
        <v>46181504</v>
      </c>
      <c r="B126" s="9" t="s">
        <v>117</v>
      </c>
      <c r="C126" s="33" t="s">
        <v>74</v>
      </c>
      <c r="D126" s="8">
        <v>12</v>
      </c>
      <c r="E126" s="11">
        <v>100</v>
      </c>
      <c r="F126" s="10">
        <v>1200</v>
      </c>
    </row>
    <row r="127" spans="1:6" x14ac:dyDescent="0.25">
      <c r="A127" s="2"/>
      <c r="B127" s="2"/>
      <c r="C127" s="2"/>
      <c r="D127" s="2"/>
      <c r="E127" s="13" t="s">
        <v>87</v>
      </c>
      <c r="F127" s="14">
        <v>364469</v>
      </c>
    </row>
    <row r="128" spans="1:6" ht="15.75" thickBot="1" x14ac:dyDescent="0.3">
      <c r="A128" s="1"/>
      <c r="B128" s="1"/>
      <c r="C128" s="1"/>
      <c r="D128" s="1"/>
      <c r="E128" s="1"/>
      <c r="F128" s="1"/>
    </row>
    <row r="129" spans="1:6" ht="34.5" thickBot="1" x14ac:dyDescent="0.3">
      <c r="A129" s="4" t="s">
        <v>19</v>
      </c>
      <c r="B129" s="4" t="s">
        <v>20</v>
      </c>
      <c r="C129" s="4" t="s">
        <v>21</v>
      </c>
      <c r="D129" s="4" t="s">
        <v>22</v>
      </c>
      <c r="E129" s="4" t="s">
        <v>23</v>
      </c>
      <c r="F129" s="4" t="s">
        <v>24</v>
      </c>
    </row>
    <row r="130" spans="1:6" ht="15.75" thickBot="1" x14ac:dyDescent="0.3">
      <c r="A130" s="32" t="s">
        <v>118</v>
      </c>
      <c r="B130" s="32" t="s">
        <v>119</v>
      </c>
      <c r="C130" s="6" t="s">
        <v>27</v>
      </c>
      <c r="D130" s="6" t="s">
        <v>28</v>
      </c>
      <c r="E130" s="32" t="s">
        <v>29</v>
      </c>
      <c r="F130" s="6"/>
    </row>
    <row r="131" spans="1:6" ht="15.75" thickBot="1" x14ac:dyDescent="0.3">
      <c r="A131" s="35" t="s">
        <v>31</v>
      </c>
      <c r="B131" s="7" t="s">
        <v>32</v>
      </c>
      <c r="C131" s="15">
        <v>45323</v>
      </c>
      <c r="D131" s="35" t="s">
        <v>33</v>
      </c>
      <c r="E131" s="7" t="s">
        <v>34</v>
      </c>
      <c r="F131" s="6"/>
    </row>
    <row r="132" spans="1:6" ht="15.75" thickBot="1" x14ac:dyDescent="0.3">
      <c r="A132" s="36"/>
      <c r="B132" s="7" t="s">
        <v>36</v>
      </c>
      <c r="C132" s="5">
        <v>1</v>
      </c>
      <c r="D132" s="36"/>
      <c r="E132" s="7" t="s">
        <v>37</v>
      </c>
      <c r="F132" s="6"/>
    </row>
    <row r="133" spans="1:6" ht="15.75" thickBot="1" x14ac:dyDescent="0.3">
      <c r="A133" s="36"/>
      <c r="B133" s="7" t="s">
        <v>39</v>
      </c>
      <c r="C133" s="15">
        <v>45381</v>
      </c>
      <c r="D133" s="36"/>
      <c r="E133" s="7" t="s">
        <v>40</v>
      </c>
      <c r="F133" s="6"/>
    </row>
    <row r="134" spans="1:6" ht="15.75" thickBot="1" x14ac:dyDescent="0.3">
      <c r="A134" s="36"/>
      <c r="B134" s="7" t="s">
        <v>36</v>
      </c>
      <c r="C134" s="5">
        <v>1</v>
      </c>
      <c r="D134" s="36"/>
      <c r="E134" s="7" t="s">
        <v>41</v>
      </c>
      <c r="F134" s="6"/>
    </row>
    <row r="135" spans="1:6" ht="15.75" thickBot="1" x14ac:dyDescent="0.3">
      <c r="A135" s="2"/>
      <c r="B135" s="2"/>
      <c r="C135" s="2"/>
      <c r="D135" s="2"/>
      <c r="E135" s="2"/>
      <c r="F135" s="2"/>
    </row>
    <row r="136" spans="1:6" ht="15.75" thickBot="1" x14ac:dyDescent="0.3">
      <c r="A136" s="12" t="s">
        <v>42</v>
      </c>
      <c r="B136" s="12" t="s">
        <v>43</v>
      </c>
      <c r="C136" s="12" t="s">
        <v>44</v>
      </c>
      <c r="D136" s="12" t="s">
        <v>45</v>
      </c>
      <c r="E136" s="12" t="s">
        <v>46</v>
      </c>
      <c r="F136" s="12" t="s">
        <v>47</v>
      </c>
    </row>
    <row r="137" spans="1:6" ht="33.75" x14ac:dyDescent="0.25">
      <c r="A137" s="8">
        <v>44103103</v>
      </c>
      <c r="B137" s="9" t="s">
        <v>120</v>
      </c>
      <c r="C137" s="8" t="s">
        <v>55</v>
      </c>
      <c r="D137" s="8">
        <v>15</v>
      </c>
      <c r="E137" s="11">
        <v>6500</v>
      </c>
      <c r="F137" s="10">
        <v>97500</v>
      </c>
    </row>
    <row r="138" spans="1:6" ht="33.75" x14ac:dyDescent="0.25">
      <c r="A138" s="8">
        <v>44103103</v>
      </c>
      <c r="B138" s="9" t="s">
        <v>120</v>
      </c>
      <c r="C138" s="33" t="s">
        <v>55</v>
      </c>
      <c r="D138" s="8">
        <v>15</v>
      </c>
      <c r="E138" s="11">
        <v>5000</v>
      </c>
      <c r="F138" s="10">
        <v>75000</v>
      </c>
    </row>
    <row r="139" spans="1:6" ht="33.75" x14ac:dyDescent="0.25">
      <c r="A139" s="8">
        <v>44103103</v>
      </c>
      <c r="B139" s="9" t="s">
        <v>120</v>
      </c>
      <c r="C139" s="33" t="s">
        <v>55</v>
      </c>
      <c r="D139" s="8">
        <v>15</v>
      </c>
      <c r="E139" s="11">
        <v>4000</v>
      </c>
      <c r="F139" s="10">
        <v>60000</v>
      </c>
    </row>
    <row r="140" spans="1:6" ht="33.75" x14ac:dyDescent="0.25">
      <c r="A140" s="8">
        <v>44103103</v>
      </c>
      <c r="B140" s="9" t="s">
        <v>120</v>
      </c>
      <c r="C140" s="33" t="s">
        <v>55</v>
      </c>
      <c r="D140" s="8">
        <v>15</v>
      </c>
      <c r="E140" s="11">
        <v>4500</v>
      </c>
      <c r="F140" s="10">
        <v>67500</v>
      </c>
    </row>
    <row r="141" spans="1:6" x14ac:dyDescent="0.25">
      <c r="A141" s="2"/>
      <c r="B141" s="2"/>
      <c r="C141" s="2"/>
      <c r="D141" s="2"/>
      <c r="E141" s="13" t="s">
        <v>87</v>
      </c>
      <c r="F141" s="14">
        <v>300000</v>
      </c>
    </row>
    <row r="142" spans="1:6" ht="15.75" thickBot="1" x14ac:dyDescent="0.3">
      <c r="A142" s="1"/>
      <c r="B142" s="1"/>
      <c r="C142" s="1"/>
      <c r="D142" s="1"/>
      <c r="E142" s="1"/>
      <c r="F142" s="1"/>
    </row>
    <row r="143" spans="1:6" ht="34.5" thickBot="1" x14ac:dyDescent="0.3">
      <c r="A143" s="4" t="s">
        <v>19</v>
      </c>
      <c r="B143" s="4" t="s">
        <v>20</v>
      </c>
      <c r="C143" s="4" t="s">
        <v>21</v>
      </c>
      <c r="D143" s="4" t="s">
        <v>22</v>
      </c>
      <c r="E143" s="4" t="s">
        <v>23</v>
      </c>
      <c r="F143" s="4" t="s">
        <v>24</v>
      </c>
    </row>
    <row r="144" spans="1:6" ht="15.75" thickBot="1" x14ac:dyDescent="0.3">
      <c r="A144" s="32" t="s">
        <v>121</v>
      </c>
      <c r="B144" s="32" t="s">
        <v>122</v>
      </c>
      <c r="C144" s="6" t="s">
        <v>27</v>
      </c>
      <c r="D144" s="6" t="s">
        <v>28</v>
      </c>
      <c r="E144" s="32" t="s">
        <v>29</v>
      </c>
      <c r="F144" s="6"/>
    </row>
    <row r="145" spans="1:6" ht="15.75" thickBot="1" x14ac:dyDescent="0.3">
      <c r="A145" s="35" t="s">
        <v>31</v>
      </c>
      <c r="B145" s="7" t="s">
        <v>32</v>
      </c>
      <c r="C145" s="15">
        <v>45323</v>
      </c>
      <c r="D145" s="35" t="s">
        <v>33</v>
      </c>
      <c r="E145" s="7" t="s">
        <v>34</v>
      </c>
      <c r="F145" s="6"/>
    </row>
    <row r="146" spans="1:6" ht="15.75" thickBot="1" x14ac:dyDescent="0.3">
      <c r="A146" s="36"/>
      <c r="B146" s="7" t="s">
        <v>36</v>
      </c>
      <c r="C146" s="5">
        <v>1</v>
      </c>
      <c r="D146" s="36"/>
      <c r="E146" s="7" t="s">
        <v>37</v>
      </c>
      <c r="F146" s="6"/>
    </row>
    <row r="147" spans="1:6" ht="15.75" thickBot="1" x14ac:dyDescent="0.3">
      <c r="A147" s="36"/>
      <c r="B147" s="7" t="s">
        <v>39</v>
      </c>
      <c r="C147" s="15">
        <v>45381</v>
      </c>
      <c r="D147" s="36"/>
      <c r="E147" s="7" t="s">
        <v>40</v>
      </c>
      <c r="F147" s="6"/>
    </row>
    <row r="148" spans="1:6" ht="15.75" thickBot="1" x14ac:dyDescent="0.3">
      <c r="A148" s="36"/>
      <c r="B148" s="7" t="s">
        <v>36</v>
      </c>
      <c r="C148" s="5">
        <v>1</v>
      </c>
      <c r="D148" s="36"/>
      <c r="E148" s="7" t="s">
        <v>41</v>
      </c>
      <c r="F148" s="6"/>
    </row>
    <row r="149" spans="1:6" ht="15.75" thickBot="1" x14ac:dyDescent="0.3">
      <c r="A149" s="2"/>
      <c r="B149" s="2"/>
      <c r="C149" s="2"/>
      <c r="D149" s="2"/>
      <c r="E149" s="2"/>
      <c r="F149" s="2"/>
    </row>
    <row r="150" spans="1:6" ht="15.75" thickBot="1" x14ac:dyDescent="0.3">
      <c r="A150" s="12" t="s">
        <v>42</v>
      </c>
      <c r="B150" s="12" t="s">
        <v>43</v>
      </c>
      <c r="C150" s="12" t="s">
        <v>44</v>
      </c>
      <c r="D150" s="12" t="s">
        <v>45</v>
      </c>
      <c r="E150" s="12" t="s">
        <v>46</v>
      </c>
      <c r="F150" s="12" t="s">
        <v>47</v>
      </c>
    </row>
    <row r="151" spans="1:6" ht="45" x14ac:dyDescent="0.25">
      <c r="A151" s="8">
        <v>82121511</v>
      </c>
      <c r="B151" s="9" t="s">
        <v>123</v>
      </c>
      <c r="C151" s="8" t="s">
        <v>55</v>
      </c>
      <c r="D151" s="8">
        <v>300</v>
      </c>
      <c r="E151" s="11">
        <v>500</v>
      </c>
      <c r="F151" s="10">
        <v>150000</v>
      </c>
    </row>
    <row r="152" spans="1:6" ht="22.5" x14ac:dyDescent="0.25">
      <c r="A152" s="8">
        <v>49101707</v>
      </c>
      <c r="B152" s="9" t="s">
        <v>124</v>
      </c>
      <c r="C152" s="33" t="s">
        <v>55</v>
      </c>
      <c r="D152" s="8">
        <v>302</v>
      </c>
      <c r="E152" s="11">
        <v>200</v>
      </c>
      <c r="F152" s="10">
        <v>60400</v>
      </c>
    </row>
    <row r="153" spans="1:6" ht="22.5" x14ac:dyDescent="0.25">
      <c r="A153" s="8">
        <v>14111604</v>
      </c>
      <c r="B153" s="9" t="s">
        <v>125</v>
      </c>
      <c r="C153" s="33" t="s">
        <v>55</v>
      </c>
      <c r="D153" s="8">
        <v>300</v>
      </c>
      <c r="E153" s="11">
        <v>10</v>
      </c>
      <c r="F153" s="10">
        <v>3000</v>
      </c>
    </row>
    <row r="154" spans="1:6" ht="33.75" x14ac:dyDescent="0.25">
      <c r="A154" s="8">
        <v>44122025</v>
      </c>
      <c r="B154" s="9" t="s">
        <v>126</v>
      </c>
      <c r="C154" s="33" t="s">
        <v>55</v>
      </c>
      <c r="D154" s="8">
        <v>15</v>
      </c>
      <c r="E154" s="11">
        <v>800</v>
      </c>
      <c r="F154" s="10">
        <v>12000</v>
      </c>
    </row>
    <row r="155" spans="1:6" ht="33.75" x14ac:dyDescent="0.25">
      <c r="A155" s="8">
        <v>44122025</v>
      </c>
      <c r="B155" s="9" t="s">
        <v>126</v>
      </c>
      <c r="C155" s="33" t="s">
        <v>55</v>
      </c>
      <c r="D155" s="8">
        <v>351</v>
      </c>
      <c r="E155" s="11">
        <v>70</v>
      </c>
      <c r="F155" s="10">
        <v>24570</v>
      </c>
    </row>
    <row r="156" spans="1:6" x14ac:dyDescent="0.25">
      <c r="A156" s="2"/>
      <c r="B156" s="2"/>
      <c r="C156" s="2"/>
      <c r="D156" s="2"/>
      <c r="E156" s="13" t="s">
        <v>87</v>
      </c>
      <c r="F156" s="14">
        <v>249970</v>
      </c>
    </row>
    <row r="157" spans="1:6" ht="15.75" thickBot="1" x14ac:dyDescent="0.3">
      <c r="A157" s="1"/>
      <c r="B157" s="1"/>
      <c r="C157" s="1"/>
      <c r="D157" s="1"/>
      <c r="E157" s="1"/>
      <c r="F157" s="1"/>
    </row>
    <row r="158" spans="1:6" ht="34.5" thickBot="1" x14ac:dyDescent="0.3">
      <c r="A158" s="4" t="s">
        <v>19</v>
      </c>
      <c r="B158" s="4" t="s">
        <v>20</v>
      </c>
      <c r="C158" s="4" t="s">
        <v>21</v>
      </c>
      <c r="D158" s="4" t="s">
        <v>22</v>
      </c>
      <c r="E158" s="4" t="s">
        <v>23</v>
      </c>
      <c r="F158" s="4" t="s">
        <v>24</v>
      </c>
    </row>
    <row r="159" spans="1:6" ht="15.75" thickBot="1" x14ac:dyDescent="0.3">
      <c r="A159" s="32" t="s">
        <v>127</v>
      </c>
      <c r="B159" s="32" t="s">
        <v>128</v>
      </c>
      <c r="C159" s="6" t="s">
        <v>129</v>
      </c>
      <c r="D159" s="6" t="s">
        <v>130</v>
      </c>
      <c r="E159" s="32" t="s">
        <v>29</v>
      </c>
      <c r="F159" s="6"/>
    </row>
    <row r="160" spans="1:6" ht="15.75" thickBot="1" x14ac:dyDescent="0.3">
      <c r="A160" s="35" t="s">
        <v>31</v>
      </c>
      <c r="B160" s="7" t="s">
        <v>32</v>
      </c>
      <c r="C160" s="15">
        <v>45323</v>
      </c>
      <c r="D160" s="35" t="s">
        <v>33</v>
      </c>
      <c r="E160" s="7" t="s">
        <v>34</v>
      </c>
      <c r="F160" s="6"/>
    </row>
    <row r="161" spans="1:6" ht="15.75" thickBot="1" x14ac:dyDescent="0.3">
      <c r="A161" s="36"/>
      <c r="B161" s="7" t="s">
        <v>36</v>
      </c>
      <c r="C161" s="5">
        <v>1</v>
      </c>
      <c r="D161" s="36"/>
      <c r="E161" s="7" t="s">
        <v>37</v>
      </c>
      <c r="F161" s="6"/>
    </row>
    <row r="162" spans="1:6" ht="15.75" thickBot="1" x14ac:dyDescent="0.3">
      <c r="A162" s="36"/>
      <c r="B162" s="7" t="s">
        <v>39</v>
      </c>
      <c r="C162" s="15">
        <v>45381</v>
      </c>
      <c r="D162" s="36"/>
      <c r="E162" s="7" t="s">
        <v>40</v>
      </c>
      <c r="F162" s="6"/>
    </row>
    <row r="163" spans="1:6" ht="15.75" thickBot="1" x14ac:dyDescent="0.3">
      <c r="A163" s="36"/>
      <c r="B163" s="7" t="s">
        <v>36</v>
      </c>
      <c r="C163" s="5">
        <v>1</v>
      </c>
      <c r="D163" s="36"/>
      <c r="E163" s="7" t="s">
        <v>41</v>
      </c>
      <c r="F163" s="6"/>
    </row>
    <row r="164" spans="1:6" ht="15.75" thickBot="1" x14ac:dyDescent="0.3">
      <c r="A164" s="2"/>
      <c r="B164" s="2"/>
      <c r="C164" s="2"/>
      <c r="D164" s="2"/>
      <c r="E164" s="2"/>
      <c r="F164" s="2"/>
    </row>
    <row r="165" spans="1:6" ht="15.75" thickBot="1" x14ac:dyDescent="0.3">
      <c r="A165" s="12" t="s">
        <v>42</v>
      </c>
      <c r="B165" s="12" t="s">
        <v>43</v>
      </c>
      <c r="C165" s="12" t="s">
        <v>44</v>
      </c>
      <c r="D165" s="12" t="s">
        <v>45</v>
      </c>
      <c r="E165" s="12" t="s">
        <v>46</v>
      </c>
      <c r="F165" s="12" t="s">
        <v>47</v>
      </c>
    </row>
    <row r="166" spans="1:6" ht="22.5" x14ac:dyDescent="0.25">
      <c r="A166" s="8">
        <v>82101603</v>
      </c>
      <c r="B166" s="9" t="s">
        <v>131</v>
      </c>
      <c r="C166" s="8" t="s">
        <v>132</v>
      </c>
      <c r="D166" s="8">
        <v>12</v>
      </c>
      <c r="E166" s="11">
        <v>5650</v>
      </c>
      <c r="F166" s="10">
        <v>67800</v>
      </c>
    </row>
    <row r="167" spans="1:6" ht="22.5" x14ac:dyDescent="0.25">
      <c r="A167" s="8">
        <v>82101501</v>
      </c>
      <c r="B167" s="9" t="s">
        <v>133</v>
      </c>
      <c r="C167" s="8" t="s">
        <v>55</v>
      </c>
      <c r="D167" s="8">
        <v>3000</v>
      </c>
      <c r="E167" s="11">
        <v>50</v>
      </c>
      <c r="F167" s="10">
        <v>150000</v>
      </c>
    </row>
    <row r="168" spans="1:6" x14ac:dyDescent="0.25">
      <c r="A168" s="2"/>
      <c r="B168" s="2"/>
      <c r="C168" s="2"/>
      <c r="D168" s="2"/>
      <c r="E168" s="13" t="s">
        <v>87</v>
      </c>
      <c r="F168" s="14">
        <v>217800</v>
      </c>
    </row>
    <row r="169" spans="1:6" ht="15.75" thickBot="1" x14ac:dyDescent="0.3">
      <c r="A169" s="1"/>
      <c r="B169" s="1"/>
      <c r="C169" s="1"/>
      <c r="D169" s="1"/>
      <c r="E169" s="1"/>
      <c r="F169" s="1"/>
    </row>
    <row r="170" spans="1:6" ht="34.5" thickBot="1" x14ac:dyDescent="0.3">
      <c r="A170" s="4" t="s">
        <v>19</v>
      </c>
      <c r="B170" s="4" t="s">
        <v>20</v>
      </c>
      <c r="C170" s="4" t="s">
        <v>21</v>
      </c>
      <c r="D170" s="4" t="s">
        <v>22</v>
      </c>
      <c r="E170" s="4" t="s">
        <v>23</v>
      </c>
      <c r="F170" s="4" t="s">
        <v>24</v>
      </c>
    </row>
    <row r="171" spans="1:6" ht="15.75" thickBot="1" x14ac:dyDescent="0.3">
      <c r="A171" s="32" t="s">
        <v>134</v>
      </c>
      <c r="B171" s="32" t="s">
        <v>135</v>
      </c>
      <c r="C171" s="32" t="s">
        <v>27</v>
      </c>
      <c r="D171" s="6" t="s">
        <v>28</v>
      </c>
      <c r="E171" s="32" t="s">
        <v>29</v>
      </c>
      <c r="F171" s="6"/>
    </row>
    <row r="172" spans="1:6" ht="15.75" thickBot="1" x14ac:dyDescent="0.3">
      <c r="A172" s="35" t="s">
        <v>31</v>
      </c>
      <c r="B172" s="7" t="s">
        <v>32</v>
      </c>
      <c r="C172" s="15">
        <v>45323</v>
      </c>
      <c r="D172" s="35" t="s">
        <v>33</v>
      </c>
      <c r="E172" s="7" t="s">
        <v>34</v>
      </c>
      <c r="F172" s="6"/>
    </row>
    <row r="173" spans="1:6" ht="15.75" thickBot="1" x14ac:dyDescent="0.3">
      <c r="A173" s="36"/>
      <c r="B173" s="7" t="s">
        <v>36</v>
      </c>
      <c r="C173" s="5">
        <v>1</v>
      </c>
      <c r="D173" s="36"/>
      <c r="E173" s="7" t="s">
        <v>37</v>
      </c>
      <c r="F173" s="6"/>
    </row>
    <row r="174" spans="1:6" ht="15.75" thickBot="1" x14ac:dyDescent="0.3">
      <c r="A174" s="36"/>
      <c r="B174" s="7" t="s">
        <v>39</v>
      </c>
      <c r="C174" s="15">
        <v>45381</v>
      </c>
      <c r="D174" s="36"/>
      <c r="E174" s="7" t="s">
        <v>40</v>
      </c>
      <c r="F174" s="6"/>
    </row>
    <row r="175" spans="1:6" ht="15.75" thickBot="1" x14ac:dyDescent="0.3">
      <c r="A175" s="36"/>
      <c r="B175" s="7" t="s">
        <v>36</v>
      </c>
      <c r="C175" s="5">
        <v>1</v>
      </c>
      <c r="D175" s="36"/>
      <c r="E175" s="7" t="s">
        <v>41</v>
      </c>
      <c r="F175" s="6"/>
    </row>
    <row r="176" spans="1:6" ht="15.75" thickBot="1" x14ac:dyDescent="0.3">
      <c r="A176" s="2"/>
      <c r="B176" s="2"/>
      <c r="C176" s="2"/>
      <c r="D176" s="2"/>
      <c r="E176" s="2"/>
      <c r="F176" s="2"/>
    </row>
    <row r="177" spans="1:6" ht="15.75" thickBot="1" x14ac:dyDescent="0.3">
      <c r="A177" s="12" t="s">
        <v>42</v>
      </c>
      <c r="B177" s="12" t="s">
        <v>43</v>
      </c>
      <c r="C177" s="12" t="s">
        <v>44</v>
      </c>
      <c r="D177" s="12" t="s">
        <v>45</v>
      </c>
      <c r="E177" s="12" t="s">
        <v>46</v>
      </c>
      <c r="F177" s="12" t="s">
        <v>47</v>
      </c>
    </row>
    <row r="178" spans="1:6" ht="22.5" x14ac:dyDescent="0.25">
      <c r="A178" s="8">
        <v>45121511</v>
      </c>
      <c r="B178" s="9" t="s">
        <v>136</v>
      </c>
      <c r="C178" s="8" t="s">
        <v>55</v>
      </c>
      <c r="D178" s="8">
        <v>2</v>
      </c>
      <c r="E178" s="11">
        <v>111950</v>
      </c>
      <c r="F178" s="10">
        <v>223900</v>
      </c>
    </row>
    <row r="179" spans="1:6" ht="22.5" x14ac:dyDescent="0.25">
      <c r="A179" s="8">
        <v>45121520</v>
      </c>
      <c r="B179" s="9" t="s">
        <v>137</v>
      </c>
      <c r="C179" s="33" t="s">
        <v>55</v>
      </c>
      <c r="D179" s="8">
        <v>5</v>
      </c>
      <c r="E179" s="11">
        <v>7600</v>
      </c>
      <c r="F179" s="10">
        <v>38000</v>
      </c>
    </row>
    <row r="180" spans="1:6" x14ac:dyDescent="0.25">
      <c r="A180" s="2"/>
      <c r="B180" s="2"/>
      <c r="C180" s="2"/>
      <c r="D180" s="2"/>
      <c r="E180" s="13" t="s">
        <v>87</v>
      </c>
      <c r="F180" s="14">
        <v>261900</v>
      </c>
    </row>
    <row r="181" spans="1:6" ht="15.75" thickBot="1" x14ac:dyDescent="0.3">
      <c r="A181" s="1"/>
      <c r="B181" s="1"/>
      <c r="C181" s="1"/>
      <c r="D181" s="1"/>
      <c r="E181" s="1"/>
      <c r="F181" s="1"/>
    </row>
    <row r="182" spans="1:6" ht="34.5" thickBot="1" x14ac:dyDescent="0.3">
      <c r="A182" s="4" t="s">
        <v>19</v>
      </c>
      <c r="B182" s="4" t="s">
        <v>20</v>
      </c>
      <c r="C182" s="4" t="s">
        <v>21</v>
      </c>
      <c r="D182" s="4" t="s">
        <v>22</v>
      </c>
      <c r="E182" s="4" t="s">
        <v>23</v>
      </c>
      <c r="F182" s="4" t="s">
        <v>24</v>
      </c>
    </row>
    <row r="183" spans="1:6" ht="15.75" thickBot="1" x14ac:dyDescent="0.3">
      <c r="A183" s="32" t="s">
        <v>138</v>
      </c>
      <c r="B183" s="32" t="s">
        <v>139</v>
      </c>
      <c r="C183" s="32" t="s">
        <v>27</v>
      </c>
      <c r="D183" s="6" t="s">
        <v>140</v>
      </c>
      <c r="E183" s="32" t="s">
        <v>29</v>
      </c>
      <c r="F183" s="6"/>
    </row>
    <row r="184" spans="1:6" ht="15.75" thickBot="1" x14ac:dyDescent="0.3">
      <c r="A184" s="35" t="s">
        <v>31</v>
      </c>
      <c r="B184" s="7" t="s">
        <v>32</v>
      </c>
      <c r="C184" s="15">
        <v>45323</v>
      </c>
      <c r="D184" s="35" t="s">
        <v>33</v>
      </c>
      <c r="E184" s="7" t="s">
        <v>34</v>
      </c>
      <c r="F184" s="6"/>
    </row>
    <row r="185" spans="1:6" ht="15.75" thickBot="1" x14ac:dyDescent="0.3">
      <c r="A185" s="36"/>
      <c r="B185" s="7" t="s">
        <v>36</v>
      </c>
      <c r="C185" s="5">
        <v>1</v>
      </c>
      <c r="D185" s="36"/>
      <c r="E185" s="7" t="s">
        <v>37</v>
      </c>
      <c r="F185" s="6"/>
    </row>
    <row r="186" spans="1:6" ht="15.75" thickBot="1" x14ac:dyDescent="0.3">
      <c r="A186" s="36"/>
      <c r="B186" s="7" t="s">
        <v>39</v>
      </c>
      <c r="C186" s="15">
        <v>45381</v>
      </c>
      <c r="D186" s="36"/>
      <c r="E186" s="7" t="s">
        <v>40</v>
      </c>
      <c r="F186" s="6"/>
    </row>
    <row r="187" spans="1:6" ht="15.75" thickBot="1" x14ac:dyDescent="0.3">
      <c r="A187" s="36"/>
      <c r="B187" s="7" t="s">
        <v>36</v>
      </c>
      <c r="C187" s="5">
        <v>1</v>
      </c>
      <c r="D187" s="36"/>
      <c r="E187" s="7" t="s">
        <v>41</v>
      </c>
      <c r="F187" s="6"/>
    </row>
    <row r="188" spans="1:6" ht="15.75" thickBot="1" x14ac:dyDescent="0.3">
      <c r="A188" s="2"/>
      <c r="B188" s="2"/>
      <c r="C188" s="2"/>
      <c r="D188" s="2"/>
      <c r="E188" s="2"/>
      <c r="F188" s="2"/>
    </row>
    <row r="189" spans="1:6" ht="15.75" thickBot="1" x14ac:dyDescent="0.3">
      <c r="A189" s="12" t="s">
        <v>42</v>
      </c>
      <c r="B189" s="12" t="s">
        <v>43</v>
      </c>
      <c r="C189" s="12" t="s">
        <v>44</v>
      </c>
      <c r="D189" s="12" t="s">
        <v>45</v>
      </c>
      <c r="E189" s="12" t="s">
        <v>46</v>
      </c>
      <c r="F189" s="12" t="s">
        <v>47</v>
      </c>
    </row>
    <row r="190" spans="1:6" ht="45" x14ac:dyDescent="0.25">
      <c r="A190" s="8">
        <v>25101905</v>
      </c>
      <c r="B190" s="9" t="s">
        <v>141</v>
      </c>
      <c r="C190" s="8" t="s">
        <v>55</v>
      </c>
      <c r="D190" s="8">
        <v>1</v>
      </c>
      <c r="E190" s="11">
        <v>269000</v>
      </c>
      <c r="F190" s="10">
        <v>269000</v>
      </c>
    </row>
    <row r="191" spans="1:6" x14ac:dyDescent="0.25">
      <c r="A191" s="2"/>
      <c r="B191" s="2"/>
      <c r="C191" s="2"/>
      <c r="D191" s="2"/>
      <c r="E191" s="13" t="s">
        <v>87</v>
      </c>
      <c r="F191" s="14">
        <v>269000</v>
      </c>
    </row>
    <row r="192" spans="1:6" ht="15.75" thickBot="1" x14ac:dyDescent="0.3">
      <c r="A192" s="1"/>
      <c r="B192" s="1"/>
      <c r="C192" s="1"/>
      <c r="D192" s="1"/>
      <c r="E192" s="1"/>
      <c r="F192" s="1"/>
    </row>
    <row r="193" spans="1:6" ht="34.5" thickBot="1" x14ac:dyDescent="0.3">
      <c r="A193" s="4" t="s">
        <v>19</v>
      </c>
      <c r="B193" s="4" t="s">
        <v>20</v>
      </c>
      <c r="C193" s="4" t="s">
        <v>21</v>
      </c>
      <c r="D193" s="4" t="s">
        <v>22</v>
      </c>
      <c r="E193" s="4" t="s">
        <v>23</v>
      </c>
      <c r="F193" s="4" t="s">
        <v>24</v>
      </c>
    </row>
    <row r="194" spans="1:6" ht="15.75" thickBot="1" x14ac:dyDescent="0.3">
      <c r="A194" s="32" t="s">
        <v>142</v>
      </c>
      <c r="B194" s="32" t="s">
        <v>143</v>
      </c>
      <c r="C194" s="32" t="s">
        <v>129</v>
      </c>
      <c r="D194" s="6" t="s">
        <v>28</v>
      </c>
      <c r="E194" s="32" t="s">
        <v>29</v>
      </c>
      <c r="F194" s="6"/>
    </row>
    <row r="195" spans="1:6" ht="15.75" thickBot="1" x14ac:dyDescent="0.3">
      <c r="A195" s="35" t="s">
        <v>31</v>
      </c>
      <c r="B195" s="7" t="s">
        <v>32</v>
      </c>
      <c r="C195" s="15">
        <v>45323</v>
      </c>
      <c r="D195" s="35" t="s">
        <v>33</v>
      </c>
      <c r="E195" s="7" t="s">
        <v>34</v>
      </c>
      <c r="F195" s="6"/>
    </row>
    <row r="196" spans="1:6" ht="15.75" thickBot="1" x14ac:dyDescent="0.3">
      <c r="A196" s="36"/>
      <c r="B196" s="7" t="s">
        <v>36</v>
      </c>
      <c r="C196" s="5">
        <v>1</v>
      </c>
      <c r="D196" s="36"/>
      <c r="E196" s="7" t="s">
        <v>37</v>
      </c>
      <c r="F196" s="6"/>
    </row>
    <row r="197" spans="1:6" ht="15.75" thickBot="1" x14ac:dyDescent="0.3">
      <c r="A197" s="36"/>
      <c r="B197" s="7" t="s">
        <v>39</v>
      </c>
      <c r="C197" s="15">
        <v>45381</v>
      </c>
      <c r="D197" s="36"/>
      <c r="E197" s="7" t="s">
        <v>40</v>
      </c>
      <c r="F197" s="6"/>
    </row>
    <row r="198" spans="1:6" ht="15.75" thickBot="1" x14ac:dyDescent="0.3">
      <c r="A198" s="36"/>
      <c r="B198" s="7" t="s">
        <v>36</v>
      </c>
      <c r="C198" s="5">
        <v>1</v>
      </c>
      <c r="D198" s="36"/>
      <c r="E198" s="7" t="s">
        <v>41</v>
      </c>
      <c r="F198" s="6"/>
    </row>
    <row r="199" spans="1:6" ht="15.75" thickBot="1" x14ac:dyDescent="0.3">
      <c r="A199" s="2"/>
      <c r="B199" s="2"/>
      <c r="C199" s="2"/>
      <c r="D199" s="2"/>
      <c r="E199" s="2"/>
      <c r="F199" s="2"/>
    </row>
    <row r="200" spans="1:6" ht="15.75" thickBot="1" x14ac:dyDescent="0.3">
      <c r="A200" s="12" t="s">
        <v>42</v>
      </c>
      <c r="B200" s="12" t="s">
        <v>43</v>
      </c>
      <c r="C200" s="12" t="s">
        <v>44</v>
      </c>
      <c r="D200" s="12" t="s">
        <v>45</v>
      </c>
      <c r="E200" s="12" t="s">
        <v>46</v>
      </c>
      <c r="F200" s="12" t="s">
        <v>47</v>
      </c>
    </row>
    <row r="201" spans="1:6" ht="33.75" x14ac:dyDescent="0.25">
      <c r="A201" s="8">
        <v>80121704</v>
      </c>
      <c r="B201" s="9" t="s">
        <v>144</v>
      </c>
      <c r="C201" s="8" t="s">
        <v>132</v>
      </c>
      <c r="D201" s="8">
        <v>2</v>
      </c>
      <c r="E201" s="11">
        <v>4900</v>
      </c>
      <c r="F201" s="10">
        <v>9800</v>
      </c>
    </row>
    <row r="202" spans="1:6" x14ac:dyDescent="0.25">
      <c r="A202" s="2"/>
      <c r="B202" s="2"/>
      <c r="C202" s="2"/>
      <c r="D202" s="2"/>
      <c r="E202" s="13" t="s">
        <v>87</v>
      </c>
      <c r="F202" s="14">
        <v>9800</v>
      </c>
    </row>
    <row r="203" spans="1:6" ht="15.75" thickBot="1" x14ac:dyDescent="0.3">
      <c r="A203" s="1"/>
      <c r="B203" s="1"/>
      <c r="C203" s="1"/>
      <c r="D203" s="1"/>
      <c r="E203" s="1"/>
      <c r="F203" s="1"/>
    </row>
    <row r="204" spans="1:6" ht="34.5" thickBot="1" x14ac:dyDescent="0.3">
      <c r="A204" s="4" t="s">
        <v>19</v>
      </c>
      <c r="B204" s="4" t="s">
        <v>20</v>
      </c>
      <c r="C204" s="4" t="s">
        <v>21</v>
      </c>
      <c r="D204" s="4" t="s">
        <v>22</v>
      </c>
      <c r="E204" s="4" t="s">
        <v>23</v>
      </c>
      <c r="F204" s="4" t="s">
        <v>24</v>
      </c>
    </row>
    <row r="205" spans="1:6" ht="15.75" thickBot="1" x14ac:dyDescent="0.3">
      <c r="A205" s="32" t="s">
        <v>145</v>
      </c>
      <c r="B205" s="32" t="s">
        <v>146</v>
      </c>
      <c r="C205" s="32" t="s">
        <v>129</v>
      </c>
      <c r="D205" s="6" t="s">
        <v>28</v>
      </c>
      <c r="E205" s="32" t="s">
        <v>29</v>
      </c>
      <c r="F205" s="6"/>
    </row>
    <row r="206" spans="1:6" ht="15.75" thickBot="1" x14ac:dyDescent="0.3">
      <c r="A206" s="35" t="s">
        <v>31</v>
      </c>
      <c r="B206" s="7" t="s">
        <v>32</v>
      </c>
      <c r="C206" s="15">
        <v>45323</v>
      </c>
      <c r="D206" s="35" t="s">
        <v>33</v>
      </c>
      <c r="E206" s="7" t="s">
        <v>34</v>
      </c>
      <c r="F206" s="6"/>
    </row>
    <row r="207" spans="1:6" ht="15.75" thickBot="1" x14ac:dyDescent="0.3">
      <c r="A207" s="36"/>
      <c r="B207" s="7" t="s">
        <v>36</v>
      </c>
      <c r="C207" s="5">
        <v>1</v>
      </c>
      <c r="D207" s="36"/>
      <c r="E207" s="7" t="s">
        <v>37</v>
      </c>
      <c r="F207" s="6"/>
    </row>
    <row r="208" spans="1:6" ht="15.75" thickBot="1" x14ac:dyDescent="0.3">
      <c r="A208" s="36"/>
      <c r="B208" s="7" t="s">
        <v>39</v>
      </c>
      <c r="C208" s="15">
        <v>45381</v>
      </c>
      <c r="D208" s="36"/>
      <c r="E208" s="7" t="s">
        <v>40</v>
      </c>
      <c r="F208" s="6"/>
    </row>
    <row r="209" spans="1:6" ht="15.75" thickBot="1" x14ac:dyDescent="0.3">
      <c r="A209" s="36"/>
      <c r="B209" s="7" t="s">
        <v>36</v>
      </c>
      <c r="C209" s="5">
        <v>1</v>
      </c>
      <c r="D209" s="36"/>
      <c r="E209" s="7" t="s">
        <v>41</v>
      </c>
      <c r="F209" s="6"/>
    </row>
    <row r="210" spans="1:6" ht="15.75" thickBot="1" x14ac:dyDescent="0.3">
      <c r="A210" s="2"/>
      <c r="B210" s="2"/>
      <c r="C210" s="2"/>
      <c r="D210" s="2"/>
      <c r="E210" s="2"/>
      <c r="F210" s="2"/>
    </row>
    <row r="211" spans="1:6" ht="15.75" thickBot="1" x14ac:dyDescent="0.3">
      <c r="A211" s="12" t="s">
        <v>42</v>
      </c>
      <c r="B211" s="12" t="s">
        <v>43</v>
      </c>
      <c r="C211" s="12" t="s">
        <v>44</v>
      </c>
      <c r="D211" s="12" t="s">
        <v>45</v>
      </c>
      <c r="E211" s="12" t="s">
        <v>46</v>
      </c>
      <c r="F211" s="12" t="s">
        <v>47</v>
      </c>
    </row>
    <row r="212" spans="1:6" ht="22.5" x14ac:dyDescent="0.25">
      <c r="A212" s="8">
        <v>86111604</v>
      </c>
      <c r="B212" s="9" t="s">
        <v>147</v>
      </c>
      <c r="C212" s="8" t="s">
        <v>55</v>
      </c>
      <c r="D212" s="8">
        <v>2</v>
      </c>
      <c r="E212" s="11">
        <v>102500</v>
      </c>
      <c r="F212" s="10">
        <v>205000</v>
      </c>
    </row>
    <row r="213" spans="1:6" ht="67.5" x14ac:dyDescent="0.25">
      <c r="A213" s="8">
        <v>86101808</v>
      </c>
      <c r="B213" s="9" t="s">
        <v>148</v>
      </c>
      <c r="C213" s="33" t="s">
        <v>55</v>
      </c>
      <c r="D213" s="8">
        <v>2</v>
      </c>
      <c r="E213" s="11">
        <v>125000</v>
      </c>
      <c r="F213" s="10">
        <v>250000</v>
      </c>
    </row>
    <row r="214" spans="1:6" x14ac:dyDescent="0.25">
      <c r="A214" s="2"/>
      <c r="B214" s="2"/>
      <c r="C214" s="2"/>
      <c r="D214" s="2"/>
      <c r="E214" s="13" t="s">
        <v>87</v>
      </c>
      <c r="F214" s="14">
        <v>455000</v>
      </c>
    </row>
    <row r="215" spans="1:6" ht="15.75" thickBot="1" x14ac:dyDescent="0.3">
      <c r="A215" s="1"/>
      <c r="B215" s="1"/>
      <c r="C215" s="1"/>
      <c r="D215" s="1"/>
      <c r="E215" s="1"/>
      <c r="F215" s="1"/>
    </row>
    <row r="216" spans="1:6" ht="34.5" thickBot="1" x14ac:dyDescent="0.3">
      <c r="A216" s="4" t="s">
        <v>19</v>
      </c>
      <c r="B216" s="4" t="s">
        <v>20</v>
      </c>
      <c r="C216" s="4" t="s">
        <v>21</v>
      </c>
      <c r="D216" s="4" t="s">
        <v>22</v>
      </c>
      <c r="E216" s="4" t="s">
        <v>23</v>
      </c>
      <c r="F216" s="4" t="s">
        <v>24</v>
      </c>
    </row>
    <row r="217" spans="1:6" ht="15.75" thickBot="1" x14ac:dyDescent="0.3">
      <c r="A217" s="32" t="s">
        <v>149</v>
      </c>
      <c r="B217" s="32" t="s">
        <v>150</v>
      </c>
      <c r="C217" s="32" t="s">
        <v>27</v>
      </c>
      <c r="D217" s="6" t="s">
        <v>28</v>
      </c>
      <c r="E217" s="32" t="s">
        <v>29</v>
      </c>
      <c r="F217" s="6"/>
    </row>
    <row r="218" spans="1:6" ht="15.75" thickBot="1" x14ac:dyDescent="0.3">
      <c r="A218" s="35" t="s">
        <v>31</v>
      </c>
      <c r="B218" s="7" t="s">
        <v>32</v>
      </c>
      <c r="C218" s="15">
        <v>45323</v>
      </c>
      <c r="D218" s="35" t="s">
        <v>33</v>
      </c>
      <c r="E218" s="7" t="s">
        <v>34</v>
      </c>
      <c r="F218" s="6"/>
    </row>
    <row r="219" spans="1:6" ht="15.75" thickBot="1" x14ac:dyDescent="0.3">
      <c r="A219" s="36"/>
      <c r="B219" s="7" t="s">
        <v>36</v>
      </c>
      <c r="C219" s="5">
        <v>1</v>
      </c>
      <c r="D219" s="36"/>
      <c r="E219" s="7" t="s">
        <v>37</v>
      </c>
      <c r="F219" s="6"/>
    </row>
    <row r="220" spans="1:6" ht="15.75" thickBot="1" x14ac:dyDescent="0.3">
      <c r="A220" s="36"/>
      <c r="B220" s="7" t="s">
        <v>39</v>
      </c>
      <c r="C220" s="15">
        <v>45381</v>
      </c>
      <c r="D220" s="36"/>
      <c r="E220" s="7" t="s">
        <v>40</v>
      </c>
      <c r="F220" s="6"/>
    </row>
    <row r="221" spans="1:6" ht="15.75" thickBot="1" x14ac:dyDescent="0.3">
      <c r="A221" s="36"/>
      <c r="B221" s="7" t="s">
        <v>36</v>
      </c>
      <c r="C221" s="5">
        <v>1</v>
      </c>
      <c r="D221" s="36"/>
      <c r="E221" s="7" t="s">
        <v>41</v>
      </c>
      <c r="F221" s="6"/>
    </row>
    <row r="222" spans="1:6" ht="15.75" thickBot="1" x14ac:dyDescent="0.3">
      <c r="A222" s="2"/>
      <c r="B222" s="2"/>
      <c r="C222" s="2"/>
      <c r="D222" s="2"/>
      <c r="E222" s="2"/>
      <c r="F222" s="2"/>
    </row>
    <row r="223" spans="1:6" ht="15.75" thickBot="1" x14ac:dyDescent="0.3">
      <c r="A223" s="12" t="s">
        <v>42</v>
      </c>
      <c r="B223" s="12" t="s">
        <v>43</v>
      </c>
      <c r="C223" s="12" t="s">
        <v>44</v>
      </c>
      <c r="D223" s="12" t="s">
        <v>45</v>
      </c>
      <c r="E223" s="12" t="s">
        <v>46</v>
      </c>
      <c r="F223" s="12" t="s">
        <v>47</v>
      </c>
    </row>
    <row r="224" spans="1:6" ht="22.5" x14ac:dyDescent="0.25">
      <c r="A224" s="8">
        <v>53101602</v>
      </c>
      <c r="B224" s="9" t="s">
        <v>151</v>
      </c>
      <c r="C224" s="8" t="s">
        <v>55</v>
      </c>
      <c r="D224" s="8">
        <v>100</v>
      </c>
      <c r="E224" s="11">
        <v>1500</v>
      </c>
      <c r="F224" s="10">
        <v>150000</v>
      </c>
    </row>
    <row r="225" spans="1:6" ht="22.5" x14ac:dyDescent="0.25">
      <c r="A225" s="8">
        <v>53103001</v>
      </c>
      <c r="B225" s="9" t="s">
        <v>152</v>
      </c>
      <c r="C225" s="33" t="s">
        <v>55</v>
      </c>
      <c r="D225" s="8">
        <v>100</v>
      </c>
      <c r="E225" s="11">
        <v>733</v>
      </c>
      <c r="F225" s="10">
        <v>73300</v>
      </c>
    </row>
    <row r="226" spans="1:6" x14ac:dyDescent="0.25">
      <c r="A226" s="8">
        <v>53102516</v>
      </c>
      <c r="B226" s="9" t="s">
        <v>153</v>
      </c>
      <c r="C226" s="33" t="s">
        <v>55</v>
      </c>
      <c r="D226" s="8">
        <v>219</v>
      </c>
      <c r="E226" s="11">
        <v>350</v>
      </c>
      <c r="F226" s="10">
        <v>76650</v>
      </c>
    </row>
    <row r="227" spans="1:6" x14ac:dyDescent="0.25">
      <c r="A227" s="2"/>
      <c r="B227" s="2"/>
      <c r="C227" s="2"/>
      <c r="D227" s="2"/>
      <c r="E227" s="13" t="s">
        <v>87</v>
      </c>
      <c r="F227" s="14">
        <v>299950</v>
      </c>
    </row>
    <row r="228" spans="1:6" ht="15.75" thickBot="1" x14ac:dyDescent="0.3">
      <c r="A228" s="1"/>
      <c r="B228" s="1"/>
      <c r="C228" s="1"/>
      <c r="D228" s="1"/>
      <c r="E228" s="1"/>
      <c r="F228" s="1"/>
    </row>
    <row r="229" spans="1:6" ht="34.5" thickBot="1" x14ac:dyDescent="0.3">
      <c r="A229" s="4" t="s">
        <v>19</v>
      </c>
      <c r="B229" s="4" t="s">
        <v>20</v>
      </c>
      <c r="C229" s="4" t="s">
        <v>21</v>
      </c>
      <c r="D229" s="4" t="s">
        <v>22</v>
      </c>
      <c r="E229" s="4" t="s">
        <v>23</v>
      </c>
      <c r="F229" s="4" t="s">
        <v>24</v>
      </c>
    </row>
    <row r="230" spans="1:6" ht="15.75" thickBot="1" x14ac:dyDescent="0.3">
      <c r="A230" s="32" t="s">
        <v>154</v>
      </c>
      <c r="B230" s="32" t="s">
        <v>155</v>
      </c>
      <c r="C230" s="32" t="s">
        <v>129</v>
      </c>
      <c r="D230" s="6" t="s">
        <v>28</v>
      </c>
      <c r="E230" s="32" t="s">
        <v>29</v>
      </c>
      <c r="F230" s="6"/>
    </row>
    <row r="231" spans="1:6" ht="15.75" thickBot="1" x14ac:dyDescent="0.3">
      <c r="A231" s="35" t="s">
        <v>31</v>
      </c>
      <c r="B231" s="7" t="s">
        <v>32</v>
      </c>
      <c r="C231" s="15">
        <v>45323</v>
      </c>
      <c r="D231" s="35" t="s">
        <v>33</v>
      </c>
      <c r="E231" s="7" t="s">
        <v>34</v>
      </c>
      <c r="F231" s="6"/>
    </row>
    <row r="232" spans="1:6" ht="15.75" thickBot="1" x14ac:dyDescent="0.3">
      <c r="A232" s="36"/>
      <c r="B232" s="7" t="s">
        <v>36</v>
      </c>
      <c r="C232" s="5">
        <v>1</v>
      </c>
      <c r="D232" s="36"/>
      <c r="E232" s="7" t="s">
        <v>37</v>
      </c>
      <c r="F232" s="6"/>
    </row>
    <row r="233" spans="1:6" ht="15.75" thickBot="1" x14ac:dyDescent="0.3">
      <c r="A233" s="36"/>
      <c r="B233" s="7" t="s">
        <v>39</v>
      </c>
      <c r="C233" s="15">
        <v>45381</v>
      </c>
      <c r="D233" s="36"/>
      <c r="E233" s="7" t="s">
        <v>40</v>
      </c>
      <c r="F233" s="6"/>
    </row>
    <row r="234" spans="1:6" ht="15.75" thickBot="1" x14ac:dyDescent="0.3">
      <c r="A234" s="36"/>
      <c r="B234" s="7" t="s">
        <v>36</v>
      </c>
      <c r="C234" s="5">
        <v>1</v>
      </c>
      <c r="D234" s="36"/>
      <c r="E234" s="7" t="s">
        <v>41</v>
      </c>
      <c r="F234" s="6"/>
    </row>
    <row r="235" spans="1:6" ht="15.75" thickBot="1" x14ac:dyDescent="0.3">
      <c r="A235" s="2"/>
      <c r="B235" s="2"/>
      <c r="C235" s="2"/>
      <c r="D235" s="2"/>
      <c r="E235" s="2"/>
      <c r="F235" s="2"/>
    </row>
    <row r="236" spans="1:6" ht="15.75" thickBot="1" x14ac:dyDescent="0.3">
      <c r="A236" s="12" t="s">
        <v>42</v>
      </c>
      <c r="B236" s="12" t="s">
        <v>43</v>
      </c>
      <c r="C236" s="12" t="s">
        <v>44</v>
      </c>
      <c r="D236" s="12" t="s">
        <v>45</v>
      </c>
      <c r="E236" s="12" t="s">
        <v>46</v>
      </c>
      <c r="F236" s="12" t="s">
        <v>47</v>
      </c>
    </row>
    <row r="237" spans="1:6" ht="22.5" x14ac:dyDescent="0.25">
      <c r="A237" s="8">
        <v>80141607</v>
      </c>
      <c r="B237" s="9" t="s">
        <v>156</v>
      </c>
      <c r="C237" s="33" t="s">
        <v>55</v>
      </c>
      <c r="D237" s="8">
        <v>7</v>
      </c>
      <c r="E237" s="11">
        <v>50000</v>
      </c>
      <c r="F237" s="10">
        <v>350000</v>
      </c>
    </row>
    <row r="238" spans="1:6" x14ac:dyDescent="0.25">
      <c r="A238" s="2"/>
      <c r="B238" s="2"/>
      <c r="C238" s="2"/>
      <c r="D238" s="2"/>
      <c r="E238" s="13" t="s">
        <v>87</v>
      </c>
      <c r="F238" s="14">
        <v>350000</v>
      </c>
    </row>
    <row r="239" spans="1:6" ht="15.75" thickBot="1" x14ac:dyDescent="0.3">
      <c r="A239" s="1"/>
      <c r="B239" s="1"/>
      <c r="C239" s="1"/>
      <c r="D239" s="1"/>
      <c r="E239" s="1"/>
      <c r="F239" s="1"/>
    </row>
    <row r="240" spans="1:6" ht="34.5" thickBot="1" x14ac:dyDescent="0.3">
      <c r="A240" s="4" t="s">
        <v>19</v>
      </c>
      <c r="B240" s="4" t="s">
        <v>20</v>
      </c>
      <c r="C240" s="4" t="s">
        <v>21</v>
      </c>
      <c r="D240" s="4" t="s">
        <v>22</v>
      </c>
      <c r="E240" s="4" t="s">
        <v>23</v>
      </c>
      <c r="F240" s="4" t="s">
        <v>24</v>
      </c>
    </row>
    <row r="241" spans="1:6" ht="15.75" thickBot="1" x14ac:dyDescent="0.3">
      <c r="A241" s="32" t="s">
        <v>157</v>
      </c>
      <c r="B241" s="32" t="s">
        <v>158</v>
      </c>
      <c r="C241" s="32" t="s">
        <v>27</v>
      </c>
      <c r="D241" s="6" t="s">
        <v>28</v>
      </c>
      <c r="E241" s="32" t="s">
        <v>29</v>
      </c>
      <c r="F241" s="6"/>
    </row>
    <row r="242" spans="1:6" ht="15.75" thickBot="1" x14ac:dyDescent="0.3">
      <c r="A242" s="35" t="s">
        <v>31</v>
      </c>
      <c r="B242" s="7" t="s">
        <v>32</v>
      </c>
      <c r="C242" s="15">
        <v>45323</v>
      </c>
      <c r="D242" s="35" t="s">
        <v>33</v>
      </c>
      <c r="E242" s="7" t="s">
        <v>34</v>
      </c>
      <c r="F242" s="6"/>
    </row>
    <row r="243" spans="1:6" ht="15.75" thickBot="1" x14ac:dyDescent="0.3">
      <c r="A243" s="36"/>
      <c r="B243" s="7" t="s">
        <v>36</v>
      </c>
      <c r="C243" s="5">
        <v>1</v>
      </c>
      <c r="D243" s="36"/>
      <c r="E243" s="7" t="s">
        <v>37</v>
      </c>
      <c r="F243" s="6"/>
    </row>
    <row r="244" spans="1:6" ht="15.75" thickBot="1" x14ac:dyDescent="0.3">
      <c r="A244" s="36"/>
      <c r="B244" s="7" t="s">
        <v>39</v>
      </c>
      <c r="C244" s="15">
        <v>45381</v>
      </c>
      <c r="D244" s="36"/>
      <c r="E244" s="7" t="s">
        <v>40</v>
      </c>
      <c r="F244" s="6"/>
    </row>
    <row r="245" spans="1:6" ht="15.75" thickBot="1" x14ac:dyDescent="0.3">
      <c r="A245" s="36"/>
      <c r="B245" s="7" t="s">
        <v>36</v>
      </c>
      <c r="C245" s="5">
        <v>1</v>
      </c>
      <c r="D245" s="36"/>
      <c r="E245" s="7" t="s">
        <v>41</v>
      </c>
      <c r="F245" s="6"/>
    </row>
    <row r="246" spans="1:6" ht="15.75" thickBot="1" x14ac:dyDescent="0.3">
      <c r="A246" s="2"/>
      <c r="B246" s="2"/>
      <c r="C246" s="2"/>
      <c r="D246" s="2"/>
      <c r="E246" s="2"/>
      <c r="F246" s="2"/>
    </row>
    <row r="247" spans="1:6" ht="15.75" thickBot="1" x14ac:dyDescent="0.3">
      <c r="A247" s="12" t="s">
        <v>42</v>
      </c>
      <c r="B247" s="12" t="s">
        <v>43</v>
      </c>
      <c r="C247" s="12" t="s">
        <v>44</v>
      </c>
      <c r="D247" s="12" t="s">
        <v>45</v>
      </c>
      <c r="E247" s="12" t="s">
        <v>46</v>
      </c>
      <c r="F247" s="12" t="s">
        <v>47</v>
      </c>
    </row>
    <row r="248" spans="1:6" ht="22.5" x14ac:dyDescent="0.25">
      <c r="A248" s="8">
        <v>45111609</v>
      </c>
      <c r="B248" s="9" t="s">
        <v>159</v>
      </c>
      <c r="C248" s="8" t="s">
        <v>55</v>
      </c>
      <c r="D248" s="8">
        <v>6</v>
      </c>
      <c r="E248" s="11">
        <v>15000</v>
      </c>
      <c r="F248" s="10">
        <v>90000</v>
      </c>
    </row>
    <row r="249" spans="1:6" ht="33.75" x14ac:dyDescent="0.25">
      <c r="A249" s="8">
        <v>44101503</v>
      </c>
      <c r="B249" s="9" t="s">
        <v>160</v>
      </c>
      <c r="C249" s="33" t="s">
        <v>55</v>
      </c>
      <c r="D249" s="8">
        <v>4</v>
      </c>
      <c r="E249" s="11">
        <v>40000</v>
      </c>
      <c r="F249" s="10">
        <v>160000</v>
      </c>
    </row>
    <row r="250" spans="1:6" ht="33.75" x14ac:dyDescent="0.25">
      <c r="A250" s="8">
        <v>43232801</v>
      </c>
      <c r="B250" s="9" t="s">
        <v>161</v>
      </c>
      <c r="C250" s="33" t="s">
        <v>55</v>
      </c>
      <c r="D250" s="8">
        <v>1</v>
      </c>
      <c r="E250" s="11">
        <v>60000</v>
      </c>
      <c r="F250" s="10">
        <v>60000</v>
      </c>
    </row>
    <row r="251" spans="1:6" ht="22.5" x14ac:dyDescent="0.25">
      <c r="A251" s="8">
        <v>43211503</v>
      </c>
      <c r="B251" s="9" t="s">
        <v>162</v>
      </c>
      <c r="C251" s="33" t="s">
        <v>55</v>
      </c>
      <c r="D251" s="8">
        <v>2</v>
      </c>
      <c r="E251" s="11">
        <v>120000</v>
      </c>
      <c r="F251" s="10">
        <v>240000</v>
      </c>
    </row>
    <row r="252" spans="1:6" x14ac:dyDescent="0.25">
      <c r="A252" s="2"/>
      <c r="B252" s="2"/>
      <c r="C252" s="2"/>
      <c r="D252" s="2"/>
      <c r="E252" s="13" t="s">
        <v>87</v>
      </c>
      <c r="F252" s="14">
        <v>550000</v>
      </c>
    </row>
    <row r="253" spans="1:6" ht="15.75" thickBot="1" x14ac:dyDescent="0.3">
      <c r="A253" s="1"/>
      <c r="B253" s="1"/>
      <c r="C253" s="1"/>
      <c r="D253" s="1"/>
      <c r="E253" s="1"/>
      <c r="F253" s="1"/>
    </row>
    <row r="254" spans="1:6" ht="34.5" thickBot="1" x14ac:dyDescent="0.3">
      <c r="A254" s="4" t="s">
        <v>19</v>
      </c>
      <c r="B254" s="4" t="s">
        <v>20</v>
      </c>
      <c r="C254" s="4" t="s">
        <v>21</v>
      </c>
      <c r="D254" s="4" t="s">
        <v>22</v>
      </c>
      <c r="E254" s="4" t="s">
        <v>23</v>
      </c>
      <c r="F254" s="4" t="s">
        <v>24</v>
      </c>
    </row>
    <row r="255" spans="1:6" ht="15.75" thickBot="1" x14ac:dyDescent="0.3">
      <c r="A255" s="32" t="s">
        <v>163</v>
      </c>
      <c r="B255" s="32" t="s">
        <v>164</v>
      </c>
      <c r="C255" s="32" t="s">
        <v>27</v>
      </c>
      <c r="D255" s="6" t="s">
        <v>28</v>
      </c>
      <c r="E255" s="32" t="s">
        <v>29</v>
      </c>
      <c r="F255" s="6"/>
    </row>
    <row r="256" spans="1:6" ht="15.75" thickBot="1" x14ac:dyDescent="0.3">
      <c r="A256" s="35" t="s">
        <v>31</v>
      </c>
      <c r="B256" s="7" t="s">
        <v>32</v>
      </c>
      <c r="C256" s="15">
        <v>45323</v>
      </c>
      <c r="D256" s="35" t="s">
        <v>33</v>
      </c>
      <c r="E256" s="7" t="s">
        <v>34</v>
      </c>
      <c r="F256" s="6"/>
    </row>
    <row r="257" spans="1:6" ht="15.75" thickBot="1" x14ac:dyDescent="0.3">
      <c r="A257" s="36"/>
      <c r="B257" s="7" t="s">
        <v>36</v>
      </c>
      <c r="C257" s="5">
        <v>1</v>
      </c>
      <c r="D257" s="36"/>
      <c r="E257" s="7" t="s">
        <v>37</v>
      </c>
      <c r="F257" s="6"/>
    </row>
    <row r="258" spans="1:6" ht="15.75" thickBot="1" x14ac:dyDescent="0.3">
      <c r="A258" s="36"/>
      <c r="B258" s="7" t="s">
        <v>39</v>
      </c>
      <c r="C258" s="15">
        <v>45381</v>
      </c>
      <c r="D258" s="36"/>
      <c r="E258" s="7" t="s">
        <v>40</v>
      </c>
      <c r="F258" s="6"/>
    </row>
    <row r="259" spans="1:6" ht="15.75" thickBot="1" x14ac:dyDescent="0.3">
      <c r="A259" s="36"/>
      <c r="B259" s="7" t="s">
        <v>36</v>
      </c>
      <c r="C259" s="5">
        <v>1</v>
      </c>
      <c r="D259" s="36"/>
      <c r="E259" s="7" t="s">
        <v>41</v>
      </c>
      <c r="F259" s="6"/>
    </row>
    <row r="260" spans="1:6" ht="15.75" thickBot="1" x14ac:dyDescent="0.3">
      <c r="A260" s="2"/>
      <c r="B260" s="2"/>
      <c r="C260" s="2"/>
      <c r="D260" s="2"/>
      <c r="E260" s="2"/>
      <c r="F260" s="2"/>
    </row>
    <row r="261" spans="1:6" ht="15.75" thickBot="1" x14ac:dyDescent="0.3">
      <c r="A261" s="12" t="s">
        <v>42</v>
      </c>
      <c r="B261" s="12" t="s">
        <v>43</v>
      </c>
      <c r="C261" s="12" t="s">
        <v>44</v>
      </c>
      <c r="D261" s="12" t="s">
        <v>45</v>
      </c>
      <c r="E261" s="12" t="s">
        <v>46</v>
      </c>
      <c r="F261" s="12" t="s">
        <v>47</v>
      </c>
    </row>
    <row r="262" spans="1:6" x14ac:dyDescent="0.25">
      <c r="A262" s="8">
        <v>52161505</v>
      </c>
      <c r="B262" s="9" t="s">
        <v>165</v>
      </c>
      <c r="C262" s="8" t="s">
        <v>55</v>
      </c>
      <c r="D262" s="8">
        <v>5</v>
      </c>
      <c r="E262" s="11">
        <v>50000</v>
      </c>
      <c r="F262" s="10">
        <v>250000</v>
      </c>
    </row>
    <row r="263" spans="1:6" x14ac:dyDescent="0.25">
      <c r="A263" s="2"/>
      <c r="B263" s="2"/>
      <c r="C263" s="2"/>
      <c r="D263" s="2"/>
      <c r="E263" s="13" t="s">
        <v>87</v>
      </c>
      <c r="F263" s="14">
        <v>250000</v>
      </c>
    </row>
    <row r="264" spans="1:6" ht="15.75" thickBot="1" x14ac:dyDescent="0.3">
      <c r="A264" s="1"/>
      <c r="B264" s="1"/>
      <c r="C264" s="1"/>
      <c r="D264" s="1"/>
      <c r="E264" s="1"/>
      <c r="F264" s="1"/>
    </row>
    <row r="265" spans="1:6" ht="34.5" thickBot="1" x14ac:dyDescent="0.3">
      <c r="A265" s="4" t="s">
        <v>19</v>
      </c>
      <c r="B265" s="4" t="s">
        <v>20</v>
      </c>
      <c r="C265" s="4" t="s">
        <v>21</v>
      </c>
      <c r="D265" s="4" t="s">
        <v>22</v>
      </c>
      <c r="E265" s="4" t="s">
        <v>23</v>
      </c>
      <c r="F265" s="4" t="s">
        <v>24</v>
      </c>
    </row>
    <row r="266" spans="1:6" ht="15.75" thickBot="1" x14ac:dyDescent="0.3">
      <c r="A266" s="32" t="s">
        <v>166</v>
      </c>
      <c r="B266" s="32" t="s">
        <v>167</v>
      </c>
      <c r="C266" s="32" t="s">
        <v>27</v>
      </c>
      <c r="D266" s="6" t="s">
        <v>28</v>
      </c>
      <c r="E266" s="32" t="s">
        <v>29</v>
      </c>
      <c r="F266" s="6"/>
    </row>
    <row r="267" spans="1:6" ht="15.75" thickBot="1" x14ac:dyDescent="0.3">
      <c r="A267" s="35" t="s">
        <v>31</v>
      </c>
      <c r="B267" s="7" t="s">
        <v>32</v>
      </c>
      <c r="C267" s="15">
        <v>45323</v>
      </c>
      <c r="D267" s="35" t="s">
        <v>33</v>
      </c>
      <c r="E267" s="7" t="s">
        <v>34</v>
      </c>
      <c r="F267" s="6"/>
    </row>
    <row r="268" spans="1:6" ht="15.75" thickBot="1" x14ac:dyDescent="0.3">
      <c r="A268" s="36"/>
      <c r="B268" s="7" t="s">
        <v>36</v>
      </c>
      <c r="C268" s="5">
        <v>1</v>
      </c>
      <c r="D268" s="36"/>
      <c r="E268" s="7" t="s">
        <v>37</v>
      </c>
      <c r="F268" s="6"/>
    </row>
    <row r="269" spans="1:6" ht="15.75" thickBot="1" x14ac:dyDescent="0.3">
      <c r="A269" s="36"/>
      <c r="B269" s="7" t="s">
        <v>39</v>
      </c>
      <c r="C269" s="15">
        <v>45381</v>
      </c>
      <c r="D269" s="36"/>
      <c r="E269" s="7" t="s">
        <v>40</v>
      </c>
      <c r="F269" s="6"/>
    </row>
    <row r="270" spans="1:6" ht="15.75" thickBot="1" x14ac:dyDescent="0.3">
      <c r="A270" s="36"/>
      <c r="B270" s="7" t="s">
        <v>36</v>
      </c>
      <c r="C270" s="5">
        <v>1</v>
      </c>
      <c r="D270" s="36"/>
      <c r="E270" s="7" t="s">
        <v>41</v>
      </c>
      <c r="F270" s="6"/>
    </row>
    <row r="271" spans="1:6" ht="15.75" thickBot="1" x14ac:dyDescent="0.3">
      <c r="A271" s="2"/>
      <c r="B271" s="2"/>
      <c r="C271" s="2"/>
      <c r="D271" s="2"/>
      <c r="E271" s="2"/>
      <c r="F271" s="2"/>
    </row>
    <row r="272" spans="1:6" ht="15.75" thickBot="1" x14ac:dyDescent="0.3">
      <c r="A272" s="12" t="s">
        <v>42</v>
      </c>
      <c r="B272" s="12" t="s">
        <v>43</v>
      </c>
      <c r="C272" s="12" t="s">
        <v>44</v>
      </c>
      <c r="D272" s="12" t="s">
        <v>45</v>
      </c>
      <c r="E272" s="12" t="s">
        <v>46</v>
      </c>
      <c r="F272" s="12" t="s">
        <v>47</v>
      </c>
    </row>
    <row r="273" spans="1:6" x14ac:dyDescent="0.25">
      <c r="A273" s="8">
        <v>50201706</v>
      </c>
      <c r="B273" s="9" t="s">
        <v>168</v>
      </c>
      <c r="C273" s="8" t="s">
        <v>74</v>
      </c>
      <c r="D273" s="8">
        <v>600</v>
      </c>
      <c r="E273" s="11">
        <v>450</v>
      </c>
      <c r="F273" s="10">
        <v>270000</v>
      </c>
    </row>
    <row r="274" spans="1:6" ht="33.75" x14ac:dyDescent="0.25">
      <c r="A274" s="8">
        <v>50161511</v>
      </c>
      <c r="B274" s="9" t="s">
        <v>169</v>
      </c>
      <c r="C274" s="8" t="s">
        <v>55</v>
      </c>
      <c r="D274" s="8">
        <v>200</v>
      </c>
      <c r="E274" s="11">
        <v>350</v>
      </c>
      <c r="F274" s="10">
        <v>70000</v>
      </c>
    </row>
    <row r="275" spans="1:6" x14ac:dyDescent="0.25">
      <c r="A275" s="8">
        <v>50202301</v>
      </c>
      <c r="B275" s="9" t="s">
        <v>170</v>
      </c>
      <c r="C275" s="33" t="s">
        <v>55</v>
      </c>
      <c r="D275" s="8">
        <v>320</v>
      </c>
      <c r="E275" s="11">
        <v>500</v>
      </c>
      <c r="F275" s="10">
        <v>160000</v>
      </c>
    </row>
    <row r="276" spans="1:6" ht="45" x14ac:dyDescent="0.25">
      <c r="A276" s="8">
        <v>50131701</v>
      </c>
      <c r="B276" s="9" t="s">
        <v>171</v>
      </c>
      <c r="C276" s="33" t="s">
        <v>55</v>
      </c>
      <c r="D276" s="8">
        <v>200</v>
      </c>
      <c r="E276" s="11">
        <v>800</v>
      </c>
      <c r="F276" s="10">
        <v>160000</v>
      </c>
    </row>
    <row r="277" spans="1:6" ht="22.5" x14ac:dyDescent="0.25">
      <c r="A277" s="8">
        <v>50193002</v>
      </c>
      <c r="B277" s="9" t="s">
        <v>172</v>
      </c>
      <c r="C277" s="33" t="s">
        <v>55</v>
      </c>
      <c r="D277" s="8">
        <v>200</v>
      </c>
      <c r="E277" s="11">
        <v>280</v>
      </c>
      <c r="F277" s="10">
        <v>56000</v>
      </c>
    </row>
    <row r="278" spans="1:6" ht="45" x14ac:dyDescent="0.25">
      <c r="A278" s="8">
        <v>50161509</v>
      </c>
      <c r="B278" s="9" t="s">
        <v>173</v>
      </c>
      <c r="C278" s="33" t="s">
        <v>55</v>
      </c>
      <c r="D278" s="8">
        <v>400</v>
      </c>
      <c r="E278" s="11">
        <v>180</v>
      </c>
      <c r="F278" s="10">
        <v>72000</v>
      </c>
    </row>
    <row r="279" spans="1:6" x14ac:dyDescent="0.25">
      <c r="A279" s="8">
        <v>50201712</v>
      </c>
      <c r="B279" s="9" t="s">
        <v>174</v>
      </c>
      <c r="C279" s="33" t="s">
        <v>55</v>
      </c>
      <c r="D279" s="8">
        <v>300</v>
      </c>
      <c r="E279" s="11">
        <v>350</v>
      </c>
      <c r="F279" s="10">
        <v>105000</v>
      </c>
    </row>
    <row r="280" spans="1:6" ht="22.5" x14ac:dyDescent="0.25">
      <c r="A280" s="8">
        <v>50181903</v>
      </c>
      <c r="B280" s="9" t="s">
        <v>175</v>
      </c>
      <c r="C280" s="33" t="s">
        <v>55</v>
      </c>
      <c r="D280" s="8">
        <v>200</v>
      </c>
      <c r="E280" s="11">
        <v>350</v>
      </c>
      <c r="F280" s="10">
        <v>70000</v>
      </c>
    </row>
    <row r="281" spans="1:6" ht="22.5" x14ac:dyDescent="0.25">
      <c r="A281" s="8">
        <v>50181909</v>
      </c>
      <c r="B281" s="9" t="s">
        <v>176</v>
      </c>
      <c r="C281" s="33" t="s">
        <v>55</v>
      </c>
      <c r="D281" s="8">
        <v>100</v>
      </c>
      <c r="E281" s="11">
        <v>250</v>
      </c>
      <c r="F281" s="10">
        <v>25000</v>
      </c>
    </row>
    <row r="282" spans="1:6" x14ac:dyDescent="0.25">
      <c r="A282" s="8">
        <v>50201711</v>
      </c>
      <c r="B282" s="9" t="s">
        <v>177</v>
      </c>
      <c r="C282" s="33" t="s">
        <v>55</v>
      </c>
      <c r="D282" s="8">
        <v>50</v>
      </c>
      <c r="E282" s="11">
        <v>750</v>
      </c>
      <c r="F282" s="10">
        <v>37500</v>
      </c>
    </row>
    <row r="283" spans="1:6" ht="22.5" x14ac:dyDescent="0.25">
      <c r="A283" s="8">
        <v>50201714</v>
      </c>
      <c r="B283" s="9" t="s">
        <v>178</v>
      </c>
      <c r="C283" s="33" t="s">
        <v>74</v>
      </c>
      <c r="D283" s="8">
        <v>100</v>
      </c>
      <c r="E283" s="11">
        <v>245</v>
      </c>
      <c r="F283" s="10">
        <v>24500</v>
      </c>
    </row>
    <row r="284" spans="1:6" x14ac:dyDescent="0.25">
      <c r="A284" s="2"/>
      <c r="B284" s="2"/>
      <c r="C284" s="2"/>
      <c r="D284" s="2"/>
      <c r="E284" s="13" t="s">
        <v>87</v>
      </c>
      <c r="F284" s="14">
        <v>1050000</v>
      </c>
    </row>
    <row r="285" spans="1:6" ht="15.75" thickBot="1" x14ac:dyDescent="0.3">
      <c r="A285" s="1"/>
      <c r="B285" s="1"/>
      <c r="C285" s="1"/>
      <c r="D285" s="1"/>
      <c r="E285" s="1"/>
      <c r="F285" s="1"/>
    </row>
    <row r="286" spans="1:6" ht="34.5" thickBot="1" x14ac:dyDescent="0.3">
      <c r="A286" s="4" t="s">
        <v>19</v>
      </c>
      <c r="B286" s="4" t="s">
        <v>20</v>
      </c>
      <c r="C286" s="4" t="s">
        <v>21</v>
      </c>
      <c r="D286" s="4" t="s">
        <v>22</v>
      </c>
      <c r="E286" s="4" t="s">
        <v>23</v>
      </c>
      <c r="F286" s="4" t="s">
        <v>24</v>
      </c>
    </row>
    <row r="287" spans="1:6" ht="15.75" thickBot="1" x14ac:dyDescent="0.3">
      <c r="A287" s="32" t="s">
        <v>179</v>
      </c>
      <c r="B287" s="32" t="s">
        <v>180</v>
      </c>
      <c r="C287" s="32" t="s">
        <v>129</v>
      </c>
      <c r="D287" s="6" t="s">
        <v>28</v>
      </c>
      <c r="E287" s="32" t="s">
        <v>29</v>
      </c>
      <c r="F287" s="6"/>
    </row>
    <row r="288" spans="1:6" ht="15.75" thickBot="1" x14ac:dyDescent="0.3">
      <c r="A288" s="35" t="s">
        <v>31</v>
      </c>
      <c r="B288" s="7" t="s">
        <v>32</v>
      </c>
      <c r="C288" s="15">
        <v>45323</v>
      </c>
      <c r="D288" s="35" t="s">
        <v>33</v>
      </c>
      <c r="E288" s="7" t="s">
        <v>34</v>
      </c>
      <c r="F288" s="6"/>
    </row>
    <row r="289" spans="1:6" ht="15.75" thickBot="1" x14ac:dyDescent="0.3">
      <c r="A289" s="36"/>
      <c r="B289" s="7" t="s">
        <v>36</v>
      </c>
      <c r="C289" s="5">
        <v>1</v>
      </c>
      <c r="D289" s="36"/>
      <c r="E289" s="7" t="s">
        <v>37</v>
      </c>
      <c r="F289" s="6"/>
    </row>
    <row r="290" spans="1:6" ht="15.75" thickBot="1" x14ac:dyDescent="0.3">
      <c r="A290" s="36"/>
      <c r="B290" s="7" t="s">
        <v>39</v>
      </c>
      <c r="C290" s="15">
        <v>45381</v>
      </c>
      <c r="D290" s="36"/>
      <c r="E290" s="7" t="s">
        <v>40</v>
      </c>
      <c r="F290" s="6"/>
    </row>
    <row r="291" spans="1:6" ht="15.75" thickBot="1" x14ac:dyDescent="0.3">
      <c r="A291" s="36"/>
      <c r="B291" s="7" t="s">
        <v>36</v>
      </c>
      <c r="C291" s="5">
        <v>1</v>
      </c>
      <c r="D291" s="36"/>
      <c r="E291" s="7" t="s">
        <v>41</v>
      </c>
      <c r="F291" s="6"/>
    </row>
    <row r="292" spans="1:6" ht="15.75" thickBot="1" x14ac:dyDescent="0.3">
      <c r="A292" s="2"/>
      <c r="B292" s="2"/>
      <c r="C292" s="2"/>
      <c r="D292" s="2"/>
      <c r="E292" s="2"/>
      <c r="F292" s="2"/>
    </row>
    <row r="293" spans="1:6" ht="15.75" thickBot="1" x14ac:dyDescent="0.3">
      <c r="A293" s="12" t="s">
        <v>42</v>
      </c>
      <c r="B293" s="12" t="s">
        <v>43</v>
      </c>
      <c r="C293" s="12" t="s">
        <v>44</v>
      </c>
      <c r="D293" s="12" t="s">
        <v>45</v>
      </c>
      <c r="E293" s="12" t="s">
        <v>46</v>
      </c>
      <c r="F293" s="12" t="s">
        <v>47</v>
      </c>
    </row>
    <row r="294" spans="1:6" ht="33.75" x14ac:dyDescent="0.25">
      <c r="A294" s="8">
        <v>72102103</v>
      </c>
      <c r="B294" s="9" t="s">
        <v>181</v>
      </c>
      <c r="C294" s="8" t="s">
        <v>132</v>
      </c>
      <c r="D294" s="8">
        <v>6</v>
      </c>
      <c r="E294" s="11">
        <v>25000</v>
      </c>
      <c r="F294" s="10">
        <v>150000</v>
      </c>
    </row>
    <row r="295" spans="1:6" ht="22.5" x14ac:dyDescent="0.25">
      <c r="A295" s="8">
        <v>70111506</v>
      </c>
      <c r="B295" s="9" t="s">
        <v>182</v>
      </c>
      <c r="C295" s="33" t="s">
        <v>55</v>
      </c>
      <c r="D295" s="8">
        <v>4</v>
      </c>
      <c r="E295" s="11">
        <v>5000</v>
      </c>
      <c r="F295" s="10">
        <v>20000</v>
      </c>
    </row>
    <row r="296" spans="1:6" ht="22.5" x14ac:dyDescent="0.25">
      <c r="A296" s="8">
        <v>31211502</v>
      </c>
      <c r="B296" s="9" t="s">
        <v>183</v>
      </c>
      <c r="C296" s="33" t="s">
        <v>55</v>
      </c>
      <c r="D296" s="8">
        <v>20</v>
      </c>
      <c r="E296" s="11">
        <v>5000</v>
      </c>
      <c r="F296" s="10">
        <v>100000</v>
      </c>
    </row>
    <row r="297" spans="1:6" ht="22.5" x14ac:dyDescent="0.25">
      <c r="A297" s="8">
        <v>31211506</v>
      </c>
      <c r="B297" s="9" t="s">
        <v>184</v>
      </c>
      <c r="C297" s="33" t="s">
        <v>55</v>
      </c>
      <c r="D297" s="8">
        <v>22</v>
      </c>
      <c r="E297" s="11">
        <v>4500</v>
      </c>
      <c r="F297" s="10">
        <v>99000</v>
      </c>
    </row>
    <row r="298" spans="1:6" ht="33.75" x14ac:dyDescent="0.25">
      <c r="A298" s="8">
        <v>76111501</v>
      </c>
      <c r="B298" s="9" t="s">
        <v>185</v>
      </c>
      <c r="C298" s="33" t="s">
        <v>55</v>
      </c>
      <c r="D298" s="8">
        <v>2</v>
      </c>
      <c r="E298" s="11">
        <v>1500</v>
      </c>
      <c r="F298" s="10">
        <v>3000</v>
      </c>
    </row>
    <row r="299" spans="1:6" x14ac:dyDescent="0.25">
      <c r="A299" s="2"/>
      <c r="B299" s="2"/>
      <c r="C299" s="2"/>
      <c r="D299" s="2"/>
      <c r="E299" s="13" t="s">
        <v>87</v>
      </c>
      <c r="F299" s="14">
        <v>372000</v>
      </c>
    </row>
    <row r="300" spans="1:6" ht="15.75" thickBot="1" x14ac:dyDescent="0.3">
      <c r="A300" s="1"/>
      <c r="B300" s="1"/>
      <c r="C300" s="1"/>
      <c r="D300" s="1"/>
      <c r="E300" s="1"/>
      <c r="F300" s="1"/>
    </row>
    <row r="301" spans="1:6" ht="34.5" thickBot="1" x14ac:dyDescent="0.3">
      <c r="A301" s="4" t="s">
        <v>19</v>
      </c>
      <c r="B301" s="4" t="s">
        <v>20</v>
      </c>
      <c r="C301" s="4" t="s">
        <v>21</v>
      </c>
      <c r="D301" s="4" t="s">
        <v>22</v>
      </c>
      <c r="E301" s="4" t="s">
        <v>23</v>
      </c>
      <c r="F301" s="4" t="s">
        <v>24</v>
      </c>
    </row>
    <row r="302" spans="1:6" ht="15.75" thickBot="1" x14ac:dyDescent="0.3">
      <c r="A302" s="32" t="s">
        <v>186</v>
      </c>
      <c r="B302" s="32" t="s">
        <v>187</v>
      </c>
      <c r="C302" s="32" t="s">
        <v>129</v>
      </c>
      <c r="D302" s="6" t="s">
        <v>188</v>
      </c>
      <c r="E302" s="32" t="s">
        <v>29</v>
      </c>
      <c r="F302" s="6"/>
    </row>
    <row r="303" spans="1:6" ht="15.75" thickBot="1" x14ac:dyDescent="0.3">
      <c r="A303" s="35" t="s">
        <v>31</v>
      </c>
      <c r="B303" s="7" t="s">
        <v>32</v>
      </c>
      <c r="C303" s="15">
        <v>45323</v>
      </c>
      <c r="D303" s="35" t="s">
        <v>33</v>
      </c>
      <c r="E303" s="7" t="s">
        <v>34</v>
      </c>
      <c r="F303" s="6"/>
    </row>
    <row r="304" spans="1:6" ht="15.75" thickBot="1" x14ac:dyDescent="0.3">
      <c r="A304" s="36"/>
      <c r="B304" s="7" t="s">
        <v>36</v>
      </c>
      <c r="C304" s="5">
        <v>1</v>
      </c>
      <c r="D304" s="36"/>
      <c r="E304" s="7" t="s">
        <v>37</v>
      </c>
      <c r="F304" s="6"/>
    </row>
    <row r="305" spans="1:6" ht="15.75" thickBot="1" x14ac:dyDescent="0.3">
      <c r="A305" s="36"/>
      <c r="B305" s="7" t="s">
        <v>39</v>
      </c>
      <c r="C305" s="15">
        <v>45381</v>
      </c>
      <c r="D305" s="36"/>
      <c r="E305" s="7" t="s">
        <v>40</v>
      </c>
      <c r="F305" s="6"/>
    </row>
    <row r="306" spans="1:6" ht="15.75" thickBot="1" x14ac:dyDescent="0.3">
      <c r="A306" s="36"/>
      <c r="B306" s="7" t="s">
        <v>36</v>
      </c>
      <c r="C306" s="5">
        <v>1</v>
      </c>
      <c r="D306" s="36"/>
      <c r="E306" s="7" t="s">
        <v>41</v>
      </c>
      <c r="F306" s="6"/>
    </row>
    <row r="307" spans="1:6" ht="15.75" thickBot="1" x14ac:dyDescent="0.3">
      <c r="A307" s="2"/>
      <c r="B307" s="2"/>
      <c r="C307" s="2"/>
      <c r="D307" s="2"/>
      <c r="E307" s="2"/>
      <c r="F307" s="2"/>
    </row>
    <row r="308" spans="1:6" ht="15.75" thickBot="1" x14ac:dyDescent="0.3">
      <c r="A308" s="12" t="s">
        <v>42</v>
      </c>
      <c r="B308" s="12" t="s">
        <v>43</v>
      </c>
      <c r="C308" s="12" t="s">
        <v>44</v>
      </c>
      <c r="D308" s="12" t="s">
        <v>45</v>
      </c>
      <c r="E308" s="12" t="s">
        <v>46</v>
      </c>
      <c r="F308" s="12" t="s">
        <v>47</v>
      </c>
    </row>
    <row r="309" spans="1:6" ht="45" x14ac:dyDescent="0.25">
      <c r="A309" s="8">
        <v>90101604</v>
      </c>
      <c r="B309" s="9" t="s">
        <v>189</v>
      </c>
      <c r="C309" s="8" t="s">
        <v>55</v>
      </c>
      <c r="D309" s="8">
        <v>1</v>
      </c>
      <c r="E309" s="11">
        <v>50000</v>
      </c>
      <c r="F309" s="10">
        <v>50000</v>
      </c>
    </row>
    <row r="310" spans="1:6" ht="22.5" x14ac:dyDescent="0.25">
      <c r="A310" s="8">
        <v>10161707</v>
      </c>
      <c r="B310" s="9" t="s">
        <v>190</v>
      </c>
      <c r="C310" s="33" t="s">
        <v>55</v>
      </c>
      <c r="D310" s="8">
        <v>2</v>
      </c>
      <c r="E310" s="11">
        <v>37500</v>
      </c>
      <c r="F310" s="10">
        <v>75000</v>
      </c>
    </row>
    <row r="311" spans="1:6" x14ac:dyDescent="0.25">
      <c r="A311" s="2"/>
      <c r="B311" s="2"/>
      <c r="C311" s="2"/>
      <c r="D311" s="2"/>
      <c r="E311" s="13" t="s">
        <v>87</v>
      </c>
      <c r="F311" s="14">
        <v>125000</v>
      </c>
    </row>
    <row r="312" spans="1:6" ht="15.75" thickBot="1" x14ac:dyDescent="0.3">
      <c r="A312" s="1"/>
      <c r="B312" s="1"/>
      <c r="C312" s="1"/>
      <c r="D312" s="1"/>
      <c r="E312" s="1"/>
      <c r="F312" s="1"/>
    </row>
    <row r="313" spans="1:6" ht="34.5" thickBot="1" x14ac:dyDescent="0.3">
      <c r="A313" s="4" t="s">
        <v>19</v>
      </c>
      <c r="B313" s="4" t="s">
        <v>20</v>
      </c>
      <c r="C313" s="4" t="s">
        <v>21</v>
      </c>
      <c r="D313" s="4" t="s">
        <v>22</v>
      </c>
      <c r="E313" s="4" t="s">
        <v>23</v>
      </c>
      <c r="F313" s="4" t="s">
        <v>24</v>
      </c>
    </row>
    <row r="314" spans="1:6" ht="15.75" thickBot="1" x14ac:dyDescent="0.3">
      <c r="A314" s="32" t="s">
        <v>191</v>
      </c>
      <c r="B314" s="32" t="s">
        <v>192</v>
      </c>
      <c r="C314" s="32" t="s">
        <v>129</v>
      </c>
      <c r="D314" s="6" t="s">
        <v>28</v>
      </c>
      <c r="E314" s="32" t="s">
        <v>29</v>
      </c>
      <c r="F314" s="6"/>
    </row>
    <row r="315" spans="1:6" ht="15.75" thickBot="1" x14ac:dyDescent="0.3">
      <c r="A315" s="35" t="s">
        <v>31</v>
      </c>
      <c r="B315" s="7" t="s">
        <v>32</v>
      </c>
      <c r="C315" s="15">
        <v>45323</v>
      </c>
      <c r="D315" s="35" t="s">
        <v>33</v>
      </c>
      <c r="E315" s="7" t="s">
        <v>34</v>
      </c>
      <c r="F315" s="6"/>
    </row>
    <row r="316" spans="1:6" ht="15.75" thickBot="1" x14ac:dyDescent="0.3">
      <c r="A316" s="36"/>
      <c r="B316" s="7" t="s">
        <v>36</v>
      </c>
      <c r="C316" s="5">
        <v>1</v>
      </c>
      <c r="D316" s="36"/>
      <c r="E316" s="7" t="s">
        <v>37</v>
      </c>
      <c r="F316" s="6"/>
    </row>
    <row r="317" spans="1:6" ht="15.75" thickBot="1" x14ac:dyDescent="0.3">
      <c r="A317" s="36"/>
      <c r="B317" s="7" t="s">
        <v>39</v>
      </c>
      <c r="C317" s="15">
        <v>45381</v>
      </c>
      <c r="D317" s="36"/>
      <c r="E317" s="7" t="s">
        <v>40</v>
      </c>
      <c r="F317" s="6"/>
    </row>
    <row r="318" spans="1:6" ht="15.75" thickBot="1" x14ac:dyDescent="0.3">
      <c r="A318" s="36"/>
      <c r="B318" s="7" t="s">
        <v>36</v>
      </c>
      <c r="C318" s="5">
        <v>1</v>
      </c>
      <c r="D318" s="36"/>
      <c r="E318" s="7" t="s">
        <v>41</v>
      </c>
      <c r="F318" s="6"/>
    </row>
    <row r="319" spans="1:6" ht="15.75" thickBot="1" x14ac:dyDescent="0.3">
      <c r="A319" s="2"/>
      <c r="B319" s="2"/>
      <c r="C319" s="2"/>
      <c r="D319" s="2"/>
      <c r="E319" s="2"/>
      <c r="F319" s="2"/>
    </row>
    <row r="320" spans="1:6" ht="15.75" thickBot="1" x14ac:dyDescent="0.3">
      <c r="A320" s="12" t="s">
        <v>42</v>
      </c>
      <c r="B320" s="12" t="s">
        <v>43</v>
      </c>
      <c r="C320" s="12" t="s">
        <v>44</v>
      </c>
      <c r="D320" s="12" t="s">
        <v>45</v>
      </c>
      <c r="E320" s="12" t="s">
        <v>46</v>
      </c>
      <c r="F320" s="12" t="s">
        <v>47</v>
      </c>
    </row>
    <row r="321" spans="1:6" x14ac:dyDescent="0.25">
      <c r="A321" s="8">
        <v>84101601</v>
      </c>
      <c r="B321" s="9" t="s">
        <v>193</v>
      </c>
      <c r="C321" s="8" t="s">
        <v>55</v>
      </c>
      <c r="D321" s="8">
        <v>4</v>
      </c>
      <c r="E321" s="11">
        <v>100000</v>
      </c>
      <c r="F321" s="10">
        <v>400000</v>
      </c>
    </row>
    <row r="322" spans="1:6" x14ac:dyDescent="0.25">
      <c r="A322" s="2"/>
      <c r="B322" s="2"/>
      <c r="C322" s="2"/>
      <c r="D322" s="2"/>
      <c r="E322" s="13" t="s">
        <v>87</v>
      </c>
      <c r="F322" s="14">
        <v>400000</v>
      </c>
    </row>
    <row r="323" spans="1:6" ht="15.75" thickBot="1" x14ac:dyDescent="0.3">
      <c r="A323" s="1"/>
      <c r="B323" s="1"/>
      <c r="C323" s="1"/>
      <c r="D323" s="1"/>
      <c r="E323" s="1"/>
      <c r="F323" s="1"/>
    </row>
    <row r="324" spans="1:6" ht="34.5" thickBot="1" x14ac:dyDescent="0.3">
      <c r="A324" s="4" t="s">
        <v>19</v>
      </c>
      <c r="B324" s="4" t="s">
        <v>20</v>
      </c>
      <c r="C324" s="4" t="s">
        <v>21</v>
      </c>
      <c r="D324" s="4" t="s">
        <v>22</v>
      </c>
      <c r="E324" s="4" t="s">
        <v>23</v>
      </c>
      <c r="F324" s="4" t="s">
        <v>24</v>
      </c>
    </row>
    <row r="325" spans="1:6" ht="15.75" thickBot="1" x14ac:dyDescent="0.3">
      <c r="A325" s="32" t="s">
        <v>25</v>
      </c>
      <c r="B325" s="32" t="s">
        <v>26</v>
      </c>
      <c r="C325" s="32" t="s">
        <v>27</v>
      </c>
      <c r="D325" s="6" t="s">
        <v>188</v>
      </c>
      <c r="E325" s="32" t="s">
        <v>29</v>
      </c>
      <c r="F325" s="6"/>
    </row>
    <row r="326" spans="1:6" ht="15.75" thickBot="1" x14ac:dyDescent="0.3">
      <c r="A326" s="35" t="s">
        <v>31</v>
      </c>
      <c r="B326" s="7" t="s">
        <v>32</v>
      </c>
      <c r="C326" s="15">
        <v>45383</v>
      </c>
      <c r="D326" s="35" t="s">
        <v>33</v>
      </c>
      <c r="E326" s="7" t="s">
        <v>34</v>
      </c>
      <c r="F326" s="6"/>
    </row>
    <row r="327" spans="1:6" ht="15.75" thickBot="1" x14ac:dyDescent="0.3">
      <c r="A327" s="36"/>
      <c r="B327" s="7" t="s">
        <v>36</v>
      </c>
      <c r="C327" s="5">
        <v>2</v>
      </c>
      <c r="D327" s="36"/>
      <c r="E327" s="7" t="s">
        <v>37</v>
      </c>
      <c r="F327" s="6"/>
    </row>
    <row r="328" spans="1:6" ht="15.75" thickBot="1" x14ac:dyDescent="0.3">
      <c r="A328" s="36"/>
      <c r="B328" s="7" t="s">
        <v>39</v>
      </c>
      <c r="C328" s="15">
        <v>45473</v>
      </c>
      <c r="D328" s="36"/>
      <c r="E328" s="7" t="s">
        <v>40</v>
      </c>
      <c r="F328" s="6"/>
    </row>
    <row r="329" spans="1:6" ht="15.75" thickBot="1" x14ac:dyDescent="0.3">
      <c r="A329" s="36"/>
      <c r="B329" s="7" t="s">
        <v>36</v>
      </c>
      <c r="C329" s="5">
        <v>2</v>
      </c>
      <c r="D329" s="36"/>
      <c r="E329" s="7" t="s">
        <v>41</v>
      </c>
      <c r="F329" s="6"/>
    </row>
    <row r="330" spans="1:6" ht="15.75" thickBot="1" x14ac:dyDescent="0.3">
      <c r="A330" s="2"/>
      <c r="B330" s="2"/>
      <c r="C330" s="2"/>
      <c r="D330" s="2"/>
      <c r="E330" s="2"/>
      <c r="F330" s="2"/>
    </row>
    <row r="331" spans="1:6" ht="15.75" thickBot="1" x14ac:dyDescent="0.3">
      <c r="A331" s="12" t="s">
        <v>42</v>
      </c>
      <c r="B331" s="12" t="s">
        <v>43</v>
      </c>
      <c r="C331" s="12" t="s">
        <v>44</v>
      </c>
      <c r="D331" s="12" t="s">
        <v>45</v>
      </c>
      <c r="E331" s="12" t="s">
        <v>46</v>
      </c>
      <c r="F331" s="12" t="s">
        <v>47</v>
      </c>
    </row>
    <row r="332" spans="1:6" x14ac:dyDescent="0.25">
      <c r="A332" s="8">
        <v>44122107</v>
      </c>
      <c r="B332" s="9" t="s">
        <v>48</v>
      </c>
      <c r="C332" s="8" t="s">
        <v>49</v>
      </c>
      <c r="D332" s="8">
        <v>28</v>
      </c>
      <c r="E332" s="11">
        <v>315</v>
      </c>
      <c r="F332" s="10">
        <v>8820</v>
      </c>
    </row>
    <row r="333" spans="1:6" ht="33.75" x14ac:dyDescent="0.25">
      <c r="A333" s="8">
        <v>14111506</v>
      </c>
      <c r="B333" s="9" t="s">
        <v>50</v>
      </c>
      <c r="C333" s="8" t="s">
        <v>51</v>
      </c>
      <c r="D333" s="8">
        <v>30</v>
      </c>
      <c r="E333" s="11">
        <v>1785</v>
      </c>
      <c r="F333" s="10">
        <v>53550</v>
      </c>
    </row>
    <row r="334" spans="1:6" x14ac:dyDescent="0.25">
      <c r="A334" s="8">
        <v>44121701</v>
      </c>
      <c r="B334" s="9" t="s">
        <v>53</v>
      </c>
      <c r="C334" s="33" t="s">
        <v>49</v>
      </c>
      <c r="D334" s="8">
        <v>20</v>
      </c>
      <c r="E334" s="11">
        <v>525</v>
      </c>
      <c r="F334" s="10">
        <v>10500</v>
      </c>
    </row>
    <row r="335" spans="1:6" x14ac:dyDescent="0.25">
      <c r="A335" s="8">
        <v>44122012</v>
      </c>
      <c r="B335" s="9" t="s">
        <v>56</v>
      </c>
      <c r="C335" s="8" t="s">
        <v>55</v>
      </c>
      <c r="D335" s="8">
        <v>25</v>
      </c>
      <c r="E335" s="11">
        <v>158</v>
      </c>
      <c r="F335" s="10">
        <v>3950</v>
      </c>
    </row>
    <row r="336" spans="1:6" x14ac:dyDescent="0.25">
      <c r="A336" s="8">
        <v>44121618</v>
      </c>
      <c r="B336" s="9" t="s">
        <v>58</v>
      </c>
      <c r="C336" s="33" t="s">
        <v>55</v>
      </c>
      <c r="D336" s="8">
        <v>15</v>
      </c>
      <c r="E336" s="11">
        <v>32</v>
      </c>
      <c r="F336" s="10">
        <v>480</v>
      </c>
    </row>
    <row r="337" spans="1:6" ht="22.5" x14ac:dyDescent="0.25">
      <c r="A337" s="8">
        <v>44122104</v>
      </c>
      <c r="B337" s="9" t="s">
        <v>59</v>
      </c>
      <c r="C337" s="33" t="s">
        <v>49</v>
      </c>
      <c r="D337" s="8">
        <v>15</v>
      </c>
      <c r="E337" s="11">
        <v>441</v>
      </c>
      <c r="F337" s="10">
        <v>6615</v>
      </c>
    </row>
    <row r="338" spans="1:6" x14ac:dyDescent="0.25">
      <c r="A338" s="8">
        <v>44121708</v>
      </c>
      <c r="B338" s="9" t="s">
        <v>60</v>
      </c>
      <c r="C338" s="33" t="s">
        <v>55</v>
      </c>
      <c r="D338" s="8">
        <v>10</v>
      </c>
      <c r="E338" s="11">
        <v>63</v>
      </c>
      <c r="F338" s="10">
        <v>630</v>
      </c>
    </row>
    <row r="339" spans="1:6" ht="22.5" x14ac:dyDescent="0.25">
      <c r="A339" s="8">
        <v>44101802</v>
      </c>
      <c r="B339" s="9" t="s">
        <v>61</v>
      </c>
      <c r="C339" s="33" t="s">
        <v>55</v>
      </c>
      <c r="D339" s="8">
        <v>10</v>
      </c>
      <c r="E339" s="11">
        <v>840</v>
      </c>
      <c r="F339" s="10">
        <v>8400</v>
      </c>
    </row>
    <row r="340" spans="1:6" ht="33.75" x14ac:dyDescent="0.25">
      <c r="A340" s="8">
        <v>44122105</v>
      </c>
      <c r="B340" s="9" t="s">
        <v>62</v>
      </c>
      <c r="C340" s="33" t="s">
        <v>49</v>
      </c>
      <c r="D340" s="8">
        <v>10</v>
      </c>
      <c r="E340" s="11">
        <v>263</v>
      </c>
      <c r="F340" s="10">
        <v>2630</v>
      </c>
    </row>
    <row r="341" spans="1:6" ht="33.75" x14ac:dyDescent="0.25">
      <c r="A341" s="8">
        <v>44103502</v>
      </c>
      <c r="B341" s="9" t="s">
        <v>63</v>
      </c>
      <c r="C341" s="33" t="s">
        <v>49</v>
      </c>
      <c r="D341" s="8">
        <v>22</v>
      </c>
      <c r="E341" s="11">
        <v>53</v>
      </c>
      <c r="F341" s="10">
        <v>1166</v>
      </c>
    </row>
    <row r="342" spans="1:6" ht="22.5" x14ac:dyDescent="0.25">
      <c r="A342" s="8">
        <v>42312011</v>
      </c>
      <c r="B342" s="9" t="s">
        <v>64</v>
      </c>
      <c r="C342" s="33" t="s">
        <v>49</v>
      </c>
      <c r="D342" s="8">
        <v>15</v>
      </c>
      <c r="E342" s="11">
        <v>32</v>
      </c>
      <c r="F342" s="10">
        <v>480</v>
      </c>
    </row>
    <row r="343" spans="1:6" ht="22.5" x14ac:dyDescent="0.25">
      <c r="A343" s="8">
        <v>14111530</v>
      </c>
      <c r="B343" s="9" t="s">
        <v>77</v>
      </c>
      <c r="C343" s="33" t="s">
        <v>55</v>
      </c>
      <c r="D343" s="8">
        <v>15</v>
      </c>
      <c r="E343" s="11">
        <v>236</v>
      </c>
      <c r="F343" s="10">
        <v>3540</v>
      </c>
    </row>
    <row r="344" spans="1:6" ht="22.5" x14ac:dyDescent="0.25">
      <c r="A344" s="8">
        <v>31201512</v>
      </c>
      <c r="B344" s="9" t="s">
        <v>68</v>
      </c>
      <c r="C344" s="33" t="s">
        <v>55</v>
      </c>
      <c r="D344" s="8">
        <v>16</v>
      </c>
      <c r="E344" s="11">
        <v>168</v>
      </c>
      <c r="F344" s="10">
        <v>2688</v>
      </c>
    </row>
    <row r="345" spans="1:6" ht="33.75" x14ac:dyDescent="0.25">
      <c r="A345" s="8">
        <v>60121532</v>
      </c>
      <c r="B345" s="9" t="s">
        <v>69</v>
      </c>
      <c r="C345" s="33" t="s">
        <v>55</v>
      </c>
      <c r="D345" s="8">
        <v>15</v>
      </c>
      <c r="E345" s="11">
        <v>26</v>
      </c>
      <c r="F345" s="10">
        <v>390</v>
      </c>
    </row>
    <row r="346" spans="1:6" ht="45" x14ac:dyDescent="0.25">
      <c r="A346" s="8">
        <v>44121621</v>
      </c>
      <c r="B346" s="9" t="s">
        <v>84</v>
      </c>
      <c r="C346" s="33" t="s">
        <v>55</v>
      </c>
      <c r="D346" s="8">
        <v>15</v>
      </c>
      <c r="E346" s="11">
        <v>58</v>
      </c>
      <c r="F346" s="10">
        <v>870</v>
      </c>
    </row>
    <row r="347" spans="1:6" ht="22.5" x14ac:dyDescent="0.25">
      <c r="A347" s="8">
        <v>14111537</v>
      </c>
      <c r="B347" s="9" t="s">
        <v>194</v>
      </c>
      <c r="C347" s="33" t="s">
        <v>51</v>
      </c>
      <c r="D347" s="8">
        <v>15</v>
      </c>
      <c r="E347" s="11">
        <v>998</v>
      </c>
      <c r="F347" s="10">
        <v>14970</v>
      </c>
    </row>
    <row r="348" spans="1:6" x14ac:dyDescent="0.25">
      <c r="A348" s="2"/>
      <c r="B348" s="2"/>
      <c r="C348" s="2"/>
      <c r="D348" s="2"/>
      <c r="E348" s="13" t="s">
        <v>87</v>
      </c>
      <c r="F348" s="14">
        <v>119679</v>
      </c>
    </row>
    <row r="349" spans="1:6" ht="15.75" thickBot="1" x14ac:dyDescent="0.3">
      <c r="A349" s="1"/>
      <c r="B349" s="1"/>
      <c r="C349" s="1"/>
      <c r="D349" s="1"/>
      <c r="E349" s="1"/>
      <c r="F349" s="1"/>
    </row>
    <row r="350" spans="1:6" ht="34.5" thickBot="1" x14ac:dyDescent="0.3">
      <c r="A350" s="4" t="s">
        <v>19</v>
      </c>
      <c r="B350" s="4" t="s">
        <v>20</v>
      </c>
      <c r="C350" s="4" t="s">
        <v>21</v>
      </c>
      <c r="D350" s="4" t="s">
        <v>22</v>
      </c>
      <c r="E350" s="4" t="s">
        <v>23</v>
      </c>
      <c r="F350" s="4" t="s">
        <v>24</v>
      </c>
    </row>
    <row r="351" spans="1:6" ht="15.75" thickBot="1" x14ac:dyDescent="0.3">
      <c r="A351" s="6" t="s">
        <v>95</v>
      </c>
      <c r="B351" s="6" t="s">
        <v>96</v>
      </c>
      <c r="C351" s="32" t="s">
        <v>27</v>
      </c>
      <c r="D351" s="6" t="s">
        <v>28</v>
      </c>
      <c r="E351" s="32" t="s">
        <v>29</v>
      </c>
      <c r="F351" s="6"/>
    </row>
    <row r="352" spans="1:6" ht="15.75" thickBot="1" x14ac:dyDescent="0.3">
      <c r="A352" s="35" t="s">
        <v>31</v>
      </c>
      <c r="B352" s="7" t="s">
        <v>32</v>
      </c>
      <c r="C352" s="15">
        <v>45383</v>
      </c>
      <c r="D352" s="35" t="s">
        <v>33</v>
      </c>
      <c r="E352" s="7" t="s">
        <v>34</v>
      </c>
      <c r="F352" s="6"/>
    </row>
    <row r="353" spans="1:6" ht="15.75" thickBot="1" x14ac:dyDescent="0.3">
      <c r="A353" s="36"/>
      <c r="B353" s="7" t="s">
        <v>36</v>
      </c>
      <c r="C353" s="5">
        <v>2</v>
      </c>
      <c r="D353" s="36"/>
      <c r="E353" s="7" t="s">
        <v>37</v>
      </c>
      <c r="F353" s="6"/>
    </row>
    <row r="354" spans="1:6" ht="15.75" thickBot="1" x14ac:dyDescent="0.3">
      <c r="A354" s="36"/>
      <c r="B354" s="7" t="s">
        <v>39</v>
      </c>
      <c r="C354" s="15">
        <v>45473</v>
      </c>
      <c r="D354" s="36"/>
      <c r="E354" s="7" t="s">
        <v>40</v>
      </c>
      <c r="F354" s="6"/>
    </row>
    <row r="355" spans="1:6" ht="15.75" thickBot="1" x14ac:dyDescent="0.3">
      <c r="A355" s="36"/>
      <c r="B355" s="7" t="s">
        <v>36</v>
      </c>
      <c r="C355" s="5">
        <v>2</v>
      </c>
      <c r="D355" s="36"/>
      <c r="E355" s="7" t="s">
        <v>41</v>
      </c>
      <c r="F355" s="6"/>
    </row>
    <row r="356" spans="1:6" ht="15.75" thickBot="1" x14ac:dyDescent="0.3">
      <c r="A356" s="2"/>
      <c r="B356" s="2"/>
      <c r="C356" s="2"/>
      <c r="D356" s="2"/>
      <c r="E356" s="2"/>
      <c r="F356" s="2"/>
    </row>
    <row r="357" spans="1:6" ht="15.75" thickBot="1" x14ac:dyDescent="0.3">
      <c r="A357" s="12" t="s">
        <v>42</v>
      </c>
      <c r="B357" s="12" t="s">
        <v>43</v>
      </c>
      <c r="C357" s="12" t="s">
        <v>44</v>
      </c>
      <c r="D357" s="12" t="s">
        <v>45</v>
      </c>
      <c r="E357" s="12" t="s">
        <v>46</v>
      </c>
      <c r="F357" s="12" t="s">
        <v>47</v>
      </c>
    </row>
    <row r="358" spans="1:6" ht="33.75" x14ac:dyDescent="0.25">
      <c r="A358" s="8">
        <v>25172502</v>
      </c>
      <c r="B358" s="9" t="s">
        <v>97</v>
      </c>
      <c r="C358" s="8" t="s">
        <v>55</v>
      </c>
      <c r="D358" s="8">
        <v>8</v>
      </c>
      <c r="E358" s="11">
        <v>12500</v>
      </c>
      <c r="F358" s="10">
        <v>100000</v>
      </c>
    </row>
    <row r="359" spans="1:6" ht="33.75" x14ac:dyDescent="0.25">
      <c r="A359" s="8">
        <v>25172502</v>
      </c>
      <c r="B359" s="9" t="s">
        <v>97</v>
      </c>
      <c r="C359" s="33" t="s">
        <v>55</v>
      </c>
      <c r="D359" s="8">
        <v>12</v>
      </c>
      <c r="E359" s="11">
        <v>10825</v>
      </c>
      <c r="F359" s="10">
        <v>129900</v>
      </c>
    </row>
    <row r="360" spans="1:6" x14ac:dyDescent="0.25">
      <c r="A360" s="2"/>
      <c r="B360" s="2"/>
      <c r="C360" s="2"/>
      <c r="D360" s="2"/>
      <c r="E360" s="13" t="s">
        <v>87</v>
      </c>
      <c r="F360" s="14">
        <v>229900</v>
      </c>
    </row>
    <row r="361" spans="1:6" ht="15.75" thickBot="1" x14ac:dyDescent="0.3">
      <c r="A361" s="1"/>
      <c r="B361" s="1"/>
      <c r="C361" s="1"/>
      <c r="D361" s="1"/>
      <c r="E361" s="1"/>
      <c r="F361" s="1"/>
    </row>
    <row r="362" spans="1:6" ht="34.5" thickBot="1" x14ac:dyDescent="0.3">
      <c r="A362" s="4" t="s">
        <v>19</v>
      </c>
      <c r="B362" s="4" t="s">
        <v>20</v>
      </c>
      <c r="C362" s="4" t="s">
        <v>21</v>
      </c>
      <c r="D362" s="4" t="s">
        <v>22</v>
      </c>
      <c r="E362" s="4" t="s">
        <v>23</v>
      </c>
      <c r="F362" s="4" t="s">
        <v>24</v>
      </c>
    </row>
    <row r="363" spans="1:6" ht="15.75" thickBot="1" x14ac:dyDescent="0.3">
      <c r="A363" s="32" t="s">
        <v>98</v>
      </c>
      <c r="B363" s="32" t="s">
        <v>99</v>
      </c>
      <c r="C363" s="32" t="s">
        <v>27</v>
      </c>
      <c r="D363" s="6" t="s">
        <v>28</v>
      </c>
      <c r="E363" s="32" t="s">
        <v>29</v>
      </c>
      <c r="F363" s="6"/>
    </row>
    <row r="364" spans="1:6" ht="15.75" thickBot="1" x14ac:dyDescent="0.3">
      <c r="A364" s="35" t="s">
        <v>31</v>
      </c>
      <c r="B364" s="7" t="s">
        <v>32</v>
      </c>
      <c r="C364" s="15">
        <v>45383</v>
      </c>
      <c r="D364" s="35" t="s">
        <v>33</v>
      </c>
      <c r="E364" s="7" t="s">
        <v>34</v>
      </c>
      <c r="F364" s="6"/>
    </row>
    <row r="365" spans="1:6" ht="15.75" thickBot="1" x14ac:dyDescent="0.3">
      <c r="A365" s="36"/>
      <c r="B365" s="7" t="s">
        <v>36</v>
      </c>
      <c r="C365" s="5">
        <v>2</v>
      </c>
      <c r="D365" s="36"/>
      <c r="E365" s="7" t="s">
        <v>37</v>
      </c>
      <c r="F365" s="6"/>
    </row>
    <row r="366" spans="1:6" ht="15.75" thickBot="1" x14ac:dyDescent="0.3">
      <c r="A366" s="36"/>
      <c r="B366" s="7" t="s">
        <v>39</v>
      </c>
      <c r="C366" s="15">
        <v>45473</v>
      </c>
      <c r="D366" s="36"/>
      <c r="E366" s="7" t="s">
        <v>40</v>
      </c>
      <c r="F366" s="6"/>
    </row>
    <row r="367" spans="1:6" ht="15.75" thickBot="1" x14ac:dyDescent="0.3">
      <c r="A367" s="36"/>
      <c r="B367" s="7" t="s">
        <v>36</v>
      </c>
      <c r="C367" s="5">
        <v>2</v>
      </c>
      <c r="D367" s="36"/>
      <c r="E367" s="7" t="s">
        <v>41</v>
      </c>
      <c r="F367" s="6"/>
    </row>
    <row r="368" spans="1:6" ht="15.75" thickBot="1" x14ac:dyDescent="0.3">
      <c r="A368" s="2"/>
      <c r="B368" s="2"/>
      <c r="C368" s="2"/>
      <c r="D368" s="2"/>
      <c r="E368" s="2"/>
      <c r="F368" s="2"/>
    </row>
    <row r="369" spans="1:6" ht="15.75" thickBot="1" x14ac:dyDescent="0.3">
      <c r="A369" s="12" t="s">
        <v>42</v>
      </c>
      <c r="B369" s="12" t="s">
        <v>43</v>
      </c>
      <c r="C369" s="12" t="s">
        <v>44</v>
      </c>
      <c r="D369" s="12" t="s">
        <v>45</v>
      </c>
      <c r="E369" s="12" t="s">
        <v>46</v>
      </c>
      <c r="F369" s="12" t="s">
        <v>47</v>
      </c>
    </row>
    <row r="370" spans="1:6" ht="33.75" x14ac:dyDescent="0.25">
      <c r="A370" s="8">
        <v>47131803</v>
      </c>
      <c r="B370" s="9" t="s">
        <v>100</v>
      </c>
      <c r="C370" s="8" t="s">
        <v>55</v>
      </c>
      <c r="D370" s="8">
        <v>24</v>
      </c>
      <c r="E370" s="11">
        <v>550</v>
      </c>
      <c r="F370" s="10">
        <v>13200</v>
      </c>
    </row>
    <row r="371" spans="1:6" ht="22.5" x14ac:dyDescent="0.25">
      <c r="A371" s="8">
        <v>47131801</v>
      </c>
      <c r="B371" s="9" t="s">
        <v>101</v>
      </c>
      <c r="C371" s="33" t="s">
        <v>55</v>
      </c>
      <c r="D371" s="8">
        <v>24</v>
      </c>
      <c r="E371" s="11">
        <v>440</v>
      </c>
      <c r="F371" s="10">
        <v>10560</v>
      </c>
    </row>
    <row r="372" spans="1:6" ht="33.75" x14ac:dyDescent="0.25">
      <c r="A372" s="8">
        <v>47131805</v>
      </c>
      <c r="B372" s="9" t="s">
        <v>102</v>
      </c>
      <c r="C372" s="33" t="s">
        <v>55</v>
      </c>
      <c r="D372" s="8">
        <v>24</v>
      </c>
      <c r="E372" s="11">
        <v>935</v>
      </c>
      <c r="F372" s="10">
        <v>22440</v>
      </c>
    </row>
    <row r="373" spans="1:6" x14ac:dyDescent="0.25">
      <c r="A373" s="8">
        <v>47131604</v>
      </c>
      <c r="B373" s="9" t="s">
        <v>103</v>
      </c>
      <c r="C373" s="33" t="s">
        <v>55</v>
      </c>
      <c r="D373" s="8">
        <v>12</v>
      </c>
      <c r="E373" s="11">
        <v>440</v>
      </c>
      <c r="F373" s="10">
        <v>5280</v>
      </c>
    </row>
    <row r="374" spans="1:6" ht="22.5" x14ac:dyDescent="0.25">
      <c r="A374" s="8">
        <v>47121701</v>
      </c>
      <c r="B374" s="9" t="s">
        <v>104</v>
      </c>
      <c r="C374" s="8" t="s">
        <v>74</v>
      </c>
      <c r="D374" s="8">
        <v>24</v>
      </c>
      <c r="E374" s="11">
        <v>440</v>
      </c>
      <c r="F374" s="10">
        <v>10560</v>
      </c>
    </row>
    <row r="375" spans="1:6" ht="22.5" x14ac:dyDescent="0.25">
      <c r="A375" s="8">
        <v>14111703</v>
      </c>
      <c r="B375" s="9" t="s">
        <v>105</v>
      </c>
      <c r="C375" s="33" t="s">
        <v>55</v>
      </c>
      <c r="D375" s="8">
        <v>18</v>
      </c>
      <c r="E375" s="11">
        <v>1980</v>
      </c>
      <c r="F375" s="10">
        <v>35640</v>
      </c>
    </row>
    <row r="376" spans="1:6" x14ac:dyDescent="0.25">
      <c r="A376" s="8">
        <v>10191509</v>
      </c>
      <c r="B376" s="9" t="s">
        <v>106</v>
      </c>
      <c r="C376" s="33" t="s">
        <v>55</v>
      </c>
      <c r="D376" s="8">
        <v>13</v>
      </c>
      <c r="E376" s="11">
        <v>1650</v>
      </c>
      <c r="F376" s="10">
        <v>21450</v>
      </c>
    </row>
    <row r="377" spans="1:6" ht="22.5" x14ac:dyDescent="0.25">
      <c r="A377" s="8">
        <v>53131626</v>
      </c>
      <c r="B377" s="9" t="s">
        <v>107</v>
      </c>
      <c r="C377" s="33" t="s">
        <v>55</v>
      </c>
      <c r="D377" s="8">
        <v>24</v>
      </c>
      <c r="E377" s="11">
        <v>660</v>
      </c>
      <c r="F377" s="10">
        <v>15840</v>
      </c>
    </row>
    <row r="378" spans="1:6" ht="22.5" x14ac:dyDescent="0.25">
      <c r="A378" s="8">
        <v>47131810</v>
      </c>
      <c r="B378" s="9" t="s">
        <v>108</v>
      </c>
      <c r="C378" s="33" t="s">
        <v>55</v>
      </c>
      <c r="D378" s="8">
        <v>15</v>
      </c>
      <c r="E378" s="11">
        <v>440</v>
      </c>
      <c r="F378" s="10">
        <v>6600</v>
      </c>
    </row>
    <row r="379" spans="1:6" x14ac:dyDescent="0.25">
      <c r="A379" s="8">
        <v>14111704</v>
      </c>
      <c r="B379" s="9" t="s">
        <v>112</v>
      </c>
      <c r="C379" s="33" t="s">
        <v>55</v>
      </c>
      <c r="D379" s="8">
        <v>42</v>
      </c>
      <c r="E379" s="11">
        <v>1650</v>
      </c>
      <c r="F379" s="10">
        <v>69300</v>
      </c>
    </row>
    <row r="380" spans="1:6" ht="22.5" x14ac:dyDescent="0.25">
      <c r="A380" s="8">
        <v>47131608</v>
      </c>
      <c r="B380" s="9" t="s">
        <v>109</v>
      </c>
      <c r="C380" s="33" t="s">
        <v>55</v>
      </c>
      <c r="D380" s="8">
        <v>5</v>
      </c>
      <c r="E380" s="11">
        <v>165</v>
      </c>
      <c r="F380" s="10">
        <v>825</v>
      </c>
    </row>
    <row r="381" spans="1:6" x14ac:dyDescent="0.25">
      <c r="A381" s="8">
        <v>52121602</v>
      </c>
      <c r="B381" s="9" t="s">
        <v>110</v>
      </c>
      <c r="C381" s="33" t="s">
        <v>74</v>
      </c>
      <c r="D381" s="8">
        <v>50</v>
      </c>
      <c r="E381" s="11">
        <v>440</v>
      </c>
      <c r="F381" s="10">
        <v>22000</v>
      </c>
    </row>
    <row r="382" spans="1:6" ht="22.5" x14ac:dyDescent="0.25">
      <c r="A382" s="8">
        <v>12352104</v>
      </c>
      <c r="B382" s="9" t="s">
        <v>195</v>
      </c>
      <c r="C382" s="8" t="s">
        <v>92</v>
      </c>
      <c r="D382" s="8">
        <v>12</v>
      </c>
      <c r="E382" s="11">
        <v>350</v>
      </c>
      <c r="F382" s="10">
        <v>4200</v>
      </c>
    </row>
    <row r="383" spans="1:6" ht="56.25" x14ac:dyDescent="0.25">
      <c r="A383" s="8">
        <v>42131606</v>
      </c>
      <c r="B383" s="9" t="s">
        <v>196</v>
      </c>
      <c r="C383" s="33" t="s">
        <v>74</v>
      </c>
      <c r="D383" s="8">
        <v>10</v>
      </c>
      <c r="E383" s="11">
        <v>1600</v>
      </c>
      <c r="F383" s="10">
        <v>16000</v>
      </c>
    </row>
    <row r="384" spans="1:6" ht="56.25" x14ac:dyDescent="0.25">
      <c r="A384" s="8">
        <v>52151504</v>
      </c>
      <c r="B384" s="9" t="s">
        <v>197</v>
      </c>
      <c r="C384" s="33" t="s">
        <v>74</v>
      </c>
      <c r="D384" s="8">
        <v>50</v>
      </c>
      <c r="E384" s="11">
        <v>2650</v>
      </c>
      <c r="F384" s="10">
        <v>132500</v>
      </c>
    </row>
    <row r="385" spans="1:6" ht="45" x14ac:dyDescent="0.25">
      <c r="A385" s="8">
        <v>52151502</v>
      </c>
      <c r="B385" s="9" t="s">
        <v>198</v>
      </c>
      <c r="C385" s="33" t="s">
        <v>74</v>
      </c>
      <c r="D385" s="8">
        <v>30</v>
      </c>
      <c r="E385" s="11">
        <v>40</v>
      </c>
      <c r="F385" s="10">
        <v>1200</v>
      </c>
    </row>
    <row r="386" spans="1:6" ht="22.5" x14ac:dyDescent="0.25">
      <c r="A386" s="8">
        <v>24101510</v>
      </c>
      <c r="B386" s="9" t="s">
        <v>111</v>
      </c>
      <c r="C386" s="33" t="s">
        <v>55</v>
      </c>
      <c r="D386" s="8">
        <v>4</v>
      </c>
      <c r="E386" s="11">
        <v>770</v>
      </c>
      <c r="F386" s="10">
        <v>3080</v>
      </c>
    </row>
    <row r="387" spans="1:6" x14ac:dyDescent="0.25">
      <c r="A387" s="8">
        <v>52121602</v>
      </c>
      <c r="B387" s="9" t="s">
        <v>110</v>
      </c>
      <c r="C387" s="33" t="s">
        <v>74</v>
      </c>
      <c r="D387" s="8">
        <v>60</v>
      </c>
      <c r="E387" s="11">
        <v>275</v>
      </c>
      <c r="F387" s="10">
        <v>16500</v>
      </c>
    </row>
    <row r="388" spans="1:6" ht="22.5" x14ac:dyDescent="0.25">
      <c r="A388" s="8">
        <v>47131618</v>
      </c>
      <c r="B388" s="9" t="s">
        <v>113</v>
      </c>
      <c r="C388" s="33" t="s">
        <v>55</v>
      </c>
      <c r="D388" s="8">
        <v>15</v>
      </c>
      <c r="E388" s="11">
        <v>220</v>
      </c>
      <c r="F388" s="10">
        <v>3300</v>
      </c>
    </row>
    <row r="389" spans="1:6" x14ac:dyDescent="0.25">
      <c r="A389" s="8">
        <v>47131816</v>
      </c>
      <c r="B389" s="9" t="s">
        <v>199</v>
      </c>
      <c r="C389" s="33" t="s">
        <v>55</v>
      </c>
      <c r="D389" s="8">
        <v>12</v>
      </c>
      <c r="E389" s="11">
        <v>1980</v>
      </c>
      <c r="F389" s="10">
        <v>23760</v>
      </c>
    </row>
    <row r="390" spans="1:6" ht="33.75" x14ac:dyDescent="0.25">
      <c r="A390" s="8">
        <v>53131624</v>
      </c>
      <c r="B390" s="9" t="s">
        <v>115</v>
      </c>
      <c r="C390" s="33" t="s">
        <v>55</v>
      </c>
      <c r="D390" s="8">
        <v>12</v>
      </c>
      <c r="E390" s="11">
        <v>175</v>
      </c>
      <c r="F390" s="10">
        <v>2100</v>
      </c>
    </row>
    <row r="391" spans="1:6" ht="33.75" x14ac:dyDescent="0.25">
      <c r="A391" s="8">
        <v>47131502</v>
      </c>
      <c r="B391" s="9" t="s">
        <v>116</v>
      </c>
      <c r="C391" s="33" t="s">
        <v>74</v>
      </c>
      <c r="D391" s="8">
        <v>12</v>
      </c>
      <c r="E391" s="11">
        <v>150</v>
      </c>
      <c r="F391" s="10">
        <v>1800</v>
      </c>
    </row>
    <row r="392" spans="1:6" ht="22.5" x14ac:dyDescent="0.25">
      <c r="A392" s="8">
        <v>46181504</v>
      </c>
      <c r="B392" s="9" t="s">
        <v>117</v>
      </c>
      <c r="C392" s="33" t="s">
        <v>74</v>
      </c>
      <c r="D392" s="8">
        <v>15</v>
      </c>
      <c r="E392" s="11">
        <v>100</v>
      </c>
      <c r="F392" s="10">
        <v>1500</v>
      </c>
    </row>
    <row r="393" spans="1:6" x14ac:dyDescent="0.25">
      <c r="A393" s="2"/>
      <c r="B393" s="2"/>
      <c r="C393" s="2"/>
      <c r="D393" s="2"/>
      <c r="E393" s="13" t="s">
        <v>87</v>
      </c>
      <c r="F393" s="14">
        <v>439635</v>
      </c>
    </row>
    <row r="394" spans="1:6" ht="15.75" thickBot="1" x14ac:dyDescent="0.3">
      <c r="A394" s="1"/>
      <c r="B394" s="1"/>
      <c r="C394" s="1"/>
      <c r="D394" s="1"/>
      <c r="E394" s="1"/>
      <c r="F394" s="1"/>
    </row>
    <row r="395" spans="1:6" ht="34.5" thickBot="1" x14ac:dyDescent="0.3">
      <c r="A395" s="4" t="s">
        <v>19</v>
      </c>
      <c r="B395" s="4" t="s">
        <v>20</v>
      </c>
      <c r="C395" s="4" t="s">
        <v>21</v>
      </c>
      <c r="D395" s="4" t="s">
        <v>22</v>
      </c>
      <c r="E395" s="4" t="s">
        <v>23</v>
      </c>
      <c r="F395" s="4" t="s">
        <v>24</v>
      </c>
    </row>
    <row r="396" spans="1:6" ht="15.75" thickBot="1" x14ac:dyDescent="0.3">
      <c r="A396" s="32" t="s">
        <v>200</v>
      </c>
      <c r="B396" s="32" t="s">
        <v>201</v>
      </c>
      <c r="C396" s="32" t="s">
        <v>27</v>
      </c>
      <c r="D396" s="6" t="s">
        <v>28</v>
      </c>
      <c r="E396" s="32" t="s">
        <v>29</v>
      </c>
      <c r="F396" s="6"/>
    </row>
    <row r="397" spans="1:6" ht="15.75" thickBot="1" x14ac:dyDescent="0.3">
      <c r="A397" s="35" t="s">
        <v>31</v>
      </c>
      <c r="B397" s="7" t="s">
        <v>32</v>
      </c>
      <c r="C397" s="15">
        <v>45383</v>
      </c>
      <c r="D397" s="35" t="s">
        <v>33</v>
      </c>
      <c r="E397" s="7" t="s">
        <v>34</v>
      </c>
      <c r="F397" s="6"/>
    </row>
    <row r="398" spans="1:6" ht="15.75" thickBot="1" x14ac:dyDescent="0.3">
      <c r="A398" s="36"/>
      <c r="B398" s="7" t="s">
        <v>36</v>
      </c>
      <c r="C398" s="5">
        <v>2</v>
      </c>
      <c r="D398" s="36"/>
      <c r="E398" s="7" t="s">
        <v>37</v>
      </c>
      <c r="F398" s="6"/>
    </row>
    <row r="399" spans="1:6" ht="15.75" thickBot="1" x14ac:dyDescent="0.3">
      <c r="A399" s="36"/>
      <c r="B399" s="7" t="s">
        <v>39</v>
      </c>
      <c r="C399" s="15">
        <v>45473</v>
      </c>
      <c r="D399" s="36"/>
      <c r="E399" s="7" t="s">
        <v>40</v>
      </c>
      <c r="F399" s="6"/>
    </row>
    <row r="400" spans="1:6" ht="15.75" thickBot="1" x14ac:dyDescent="0.3">
      <c r="A400" s="36"/>
      <c r="B400" s="7" t="s">
        <v>36</v>
      </c>
      <c r="C400" s="5">
        <v>2</v>
      </c>
      <c r="D400" s="36"/>
      <c r="E400" s="7" t="s">
        <v>41</v>
      </c>
      <c r="F400" s="6"/>
    </row>
    <row r="401" spans="1:6" ht="15.75" thickBot="1" x14ac:dyDescent="0.3">
      <c r="A401" s="2"/>
      <c r="B401" s="2"/>
      <c r="C401" s="2"/>
      <c r="D401" s="2"/>
      <c r="E401" s="2"/>
      <c r="F401" s="2"/>
    </row>
    <row r="402" spans="1:6" ht="15.75" thickBot="1" x14ac:dyDescent="0.3">
      <c r="A402" s="12" t="s">
        <v>42</v>
      </c>
      <c r="B402" s="12" t="s">
        <v>43</v>
      </c>
      <c r="C402" s="12" t="s">
        <v>44</v>
      </c>
      <c r="D402" s="12" t="s">
        <v>45</v>
      </c>
      <c r="E402" s="12" t="s">
        <v>46</v>
      </c>
      <c r="F402" s="12" t="s">
        <v>47</v>
      </c>
    </row>
    <row r="403" spans="1:6" ht="22.5" x14ac:dyDescent="0.25">
      <c r="A403" s="8">
        <v>56101520</v>
      </c>
      <c r="B403" s="9" t="s">
        <v>202</v>
      </c>
      <c r="C403" s="8" t="s">
        <v>55</v>
      </c>
      <c r="D403" s="8">
        <v>2</v>
      </c>
      <c r="E403" s="11">
        <v>24000</v>
      </c>
      <c r="F403" s="10">
        <v>48000</v>
      </c>
    </row>
    <row r="404" spans="1:6" x14ac:dyDescent="0.25">
      <c r="A404" s="2"/>
      <c r="B404" s="2"/>
      <c r="C404" s="2"/>
      <c r="D404" s="2"/>
      <c r="E404" s="13" t="s">
        <v>87</v>
      </c>
      <c r="F404" s="14">
        <v>48000</v>
      </c>
    </row>
    <row r="405" spans="1:6" ht="15.75" thickBot="1" x14ac:dyDescent="0.3">
      <c r="A405" s="1"/>
      <c r="B405" s="1"/>
      <c r="C405" s="1"/>
      <c r="D405" s="1"/>
      <c r="E405" s="1"/>
      <c r="F405" s="1"/>
    </row>
    <row r="406" spans="1:6" ht="34.5" thickBot="1" x14ac:dyDescent="0.3">
      <c r="A406" s="4" t="s">
        <v>19</v>
      </c>
      <c r="B406" s="4" t="s">
        <v>20</v>
      </c>
      <c r="C406" s="4" t="s">
        <v>21</v>
      </c>
      <c r="D406" s="4" t="s">
        <v>22</v>
      </c>
      <c r="E406" s="4" t="s">
        <v>23</v>
      </c>
      <c r="F406" s="4" t="s">
        <v>24</v>
      </c>
    </row>
    <row r="407" spans="1:6" ht="15.75" thickBot="1" x14ac:dyDescent="0.3">
      <c r="A407" s="32" t="s">
        <v>118</v>
      </c>
      <c r="B407" s="32" t="s">
        <v>119</v>
      </c>
      <c r="C407" s="32" t="s">
        <v>27</v>
      </c>
      <c r="D407" s="6" t="s">
        <v>28</v>
      </c>
      <c r="E407" s="32" t="s">
        <v>29</v>
      </c>
      <c r="F407" s="6"/>
    </row>
    <row r="408" spans="1:6" ht="15.75" thickBot="1" x14ac:dyDescent="0.3">
      <c r="A408" s="35" t="s">
        <v>31</v>
      </c>
      <c r="B408" s="7" t="s">
        <v>32</v>
      </c>
      <c r="C408" s="15">
        <v>45383</v>
      </c>
      <c r="D408" s="35" t="s">
        <v>33</v>
      </c>
      <c r="E408" s="7" t="s">
        <v>34</v>
      </c>
      <c r="F408" s="6"/>
    </row>
    <row r="409" spans="1:6" ht="15.75" thickBot="1" x14ac:dyDescent="0.3">
      <c r="A409" s="36"/>
      <c r="B409" s="7" t="s">
        <v>36</v>
      </c>
      <c r="C409" s="5">
        <v>2</v>
      </c>
      <c r="D409" s="36"/>
      <c r="E409" s="7" t="s">
        <v>37</v>
      </c>
      <c r="F409" s="6"/>
    </row>
    <row r="410" spans="1:6" ht="15.75" thickBot="1" x14ac:dyDescent="0.3">
      <c r="A410" s="36"/>
      <c r="B410" s="7" t="s">
        <v>39</v>
      </c>
      <c r="C410" s="15">
        <v>45473</v>
      </c>
      <c r="D410" s="36"/>
      <c r="E410" s="7" t="s">
        <v>40</v>
      </c>
      <c r="F410" s="6"/>
    </row>
    <row r="411" spans="1:6" ht="15.75" thickBot="1" x14ac:dyDescent="0.3">
      <c r="A411" s="36"/>
      <c r="B411" s="7" t="s">
        <v>36</v>
      </c>
      <c r="C411" s="5">
        <v>2</v>
      </c>
      <c r="D411" s="36"/>
      <c r="E411" s="7" t="s">
        <v>41</v>
      </c>
      <c r="F411" s="6"/>
    </row>
    <row r="412" spans="1:6" ht="15.75" thickBot="1" x14ac:dyDescent="0.3">
      <c r="A412" s="2"/>
      <c r="B412" s="2"/>
      <c r="C412" s="2"/>
      <c r="D412" s="2"/>
      <c r="E412" s="2"/>
      <c r="F412" s="2"/>
    </row>
    <row r="413" spans="1:6" ht="15.75" thickBot="1" x14ac:dyDescent="0.3">
      <c r="A413" s="12" t="s">
        <v>42</v>
      </c>
      <c r="B413" s="12" t="s">
        <v>43</v>
      </c>
      <c r="C413" s="12" t="s">
        <v>44</v>
      </c>
      <c r="D413" s="12" t="s">
        <v>45</v>
      </c>
      <c r="E413" s="12" t="s">
        <v>46</v>
      </c>
      <c r="F413" s="12" t="s">
        <v>47</v>
      </c>
    </row>
    <row r="414" spans="1:6" ht="33.75" x14ac:dyDescent="0.25">
      <c r="A414" s="8">
        <v>44103103</v>
      </c>
      <c r="B414" s="9" t="s">
        <v>120</v>
      </c>
      <c r="C414" s="8" t="s">
        <v>55</v>
      </c>
      <c r="D414" s="8">
        <v>15</v>
      </c>
      <c r="E414" s="11">
        <v>6000</v>
      </c>
      <c r="F414" s="10">
        <v>90000</v>
      </c>
    </row>
    <row r="415" spans="1:6" ht="33.75" x14ac:dyDescent="0.25">
      <c r="A415" s="8">
        <v>44103103</v>
      </c>
      <c r="B415" s="9" t="s">
        <v>120</v>
      </c>
      <c r="C415" s="33" t="s">
        <v>55</v>
      </c>
      <c r="D415" s="8">
        <v>10</v>
      </c>
      <c r="E415" s="11">
        <v>5000</v>
      </c>
      <c r="F415" s="10">
        <v>50000</v>
      </c>
    </row>
    <row r="416" spans="1:6" ht="33.75" x14ac:dyDescent="0.25">
      <c r="A416" s="8">
        <v>44103103</v>
      </c>
      <c r="B416" s="9" t="s">
        <v>120</v>
      </c>
      <c r="C416" s="33" t="s">
        <v>55</v>
      </c>
      <c r="D416" s="8">
        <v>12</v>
      </c>
      <c r="E416" s="11">
        <v>4000</v>
      </c>
      <c r="F416" s="10">
        <v>48000</v>
      </c>
    </row>
    <row r="417" spans="1:6" ht="33.75" x14ac:dyDescent="0.25">
      <c r="A417" s="8">
        <v>44103103</v>
      </c>
      <c r="B417" s="9" t="s">
        <v>120</v>
      </c>
      <c r="C417" s="33" t="s">
        <v>55</v>
      </c>
      <c r="D417" s="8">
        <v>13</v>
      </c>
      <c r="E417" s="11">
        <v>4700</v>
      </c>
      <c r="F417" s="10">
        <v>61100</v>
      </c>
    </row>
    <row r="418" spans="1:6" x14ac:dyDescent="0.25">
      <c r="A418" s="2"/>
      <c r="B418" s="2"/>
      <c r="C418" s="2"/>
      <c r="D418" s="2"/>
      <c r="E418" s="13" t="s">
        <v>87</v>
      </c>
      <c r="F418" s="14">
        <v>249100</v>
      </c>
    </row>
    <row r="419" spans="1:6" ht="15.75" thickBot="1" x14ac:dyDescent="0.3">
      <c r="A419" s="1"/>
      <c r="B419" s="1"/>
      <c r="C419" s="1"/>
      <c r="D419" s="1"/>
      <c r="E419" s="1"/>
      <c r="F419" s="1"/>
    </row>
    <row r="420" spans="1:6" ht="34.5" thickBot="1" x14ac:dyDescent="0.3">
      <c r="A420" s="4" t="s">
        <v>19</v>
      </c>
      <c r="B420" s="4" t="s">
        <v>20</v>
      </c>
      <c r="C420" s="4" t="s">
        <v>21</v>
      </c>
      <c r="D420" s="4" t="s">
        <v>22</v>
      </c>
      <c r="E420" s="4" t="s">
        <v>23</v>
      </c>
      <c r="F420" s="4" t="s">
        <v>24</v>
      </c>
    </row>
    <row r="421" spans="1:6" ht="15.75" thickBot="1" x14ac:dyDescent="0.3">
      <c r="A421" s="32" t="s">
        <v>142</v>
      </c>
      <c r="B421" s="32" t="s">
        <v>143</v>
      </c>
      <c r="C421" s="6" t="s">
        <v>129</v>
      </c>
      <c r="D421" s="6" t="s">
        <v>188</v>
      </c>
      <c r="E421" s="32" t="s">
        <v>29</v>
      </c>
      <c r="F421" s="6"/>
    </row>
    <row r="422" spans="1:6" ht="15.75" thickBot="1" x14ac:dyDescent="0.3">
      <c r="A422" s="35" t="s">
        <v>31</v>
      </c>
      <c r="B422" s="7" t="s">
        <v>32</v>
      </c>
      <c r="C422" s="15">
        <v>45383</v>
      </c>
      <c r="D422" s="35" t="s">
        <v>33</v>
      </c>
      <c r="E422" s="7" t="s">
        <v>34</v>
      </c>
      <c r="F422" s="6"/>
    </row>
    <row r="423" spans="1:6" ht="15.75" thickBot="1" x14ac:dyDescent="0.3">
      <c r="A423" s="36"/>
      <c r="B423" s="7" t="s">
        <v>36</v>
      </c>
      <c r="C423" s="5">
        <v>2</v>
      </c>
      <c r="D423" s="36"/>
      <c r="E423" s="7" t="s">
        <v>37</v>
      </c>
      <c r="F423" s="6"/>
    </row>
    <row r="424" spans="1:6" ht="15.75" thickBot="1" x14ac:dyDescent="0.3">
      <c r="A424" s="36"/>
      <c r="B424" s="7" t="s">
        <v>39</v>
      </c>
      <c r="C424" s="15">
        <v>45473</v>
      </c>
      <c r="D424" s="36"/>
      <c r="E424" s="7" t="s">
        <v>40</v>
      </c>
      <c r="F424" s="6"/>
    </row>
    <row r="425" spans="1:6" ht="15.75" thickBot="1" x14ac:dyDescent="0.3">
      <c r="A425" s="36"/>
      <c r="B425" s="7" t="s">
        <v>36</v>
      </c>
      <c r="C425" s="5">
        <v>2</v>
      </c>
      <c r="D425" s="36"/>
      <c r="E425" s="7" t="s">
        <v>41</v>
      </c>
      <c r="F425" s="6"/>
    </row>
    <row r="426" spans="1:6" ht="15.75" thickBot="1" x14ac:dyDescent="0.3">
      <c r="A426" s="2"/>
      <c r="B426" s="2"/>
      <c r="C426" s="2"/>
      <c r="D426" s="2"/>
      <c r="E426" s="2"/>
      <c r="F426" s="2"/>
    </row>
    <row r="427" spans="1:6" ht="15.75" thickBot="1" x14ac:dyDescent="0.3">
      <c r="A427" s="12" t="s">
        <v>42</v>
      </c>
      <c r="B427" s="12" t="s">
        <v>43</v>
      </c>
      <c r="C427" s="12" t="s">
        <v>44</v>
      </c>
      <c r="D427" s="12" t="s">
        <v>45</v>
      </c>
      <c r="E427" s="12" t="s">
        <v>46</v>
      </c>
      <c r="F427" s="12" t="s">
        <v>47</v>
      </c>
    </row>
    <row r="428" spans="1:6" ht="33.75" x14ac:dyDescent="0.25">
      <c r="A428" s="8">
        <v>80121704</v>
      </c>
      <c r="B428" s="9" t="s">
        <v>144</v>
      </c>
      <c r="C428" s="8" t="s">
        <v>132</v>
      </c>
      <c r="D428" s="8">
        <v>1</v>
      </c>
      <c r="E428" s="11">
        <v>4900</v>
      </c>
      <c r="F428" s="10">
        <v>4900</v>
      </c>
    </row>
    <row r="429" spans="1:6" x14ac:dyDescent="0.25">
      <c r="A429" s="2"/>
      <c r="B429" s="2"/>
      <c r="C429" s="2"/>
      <c r="D429" s="2"/>
      <c r="E429" s="13" t="s">
        <v>87</v>
      </c>
      <c r="F429" s="14">
        <v>4900</v>
      </c>
    </row>
    <row r="430" spans="1:6" ht="15.75" thickBot="1" x14ac:dyDescent="0.3">
      <c r="A430" s="1"/>
      <c r="B430" s="1"/>
      <c r="C430" s="1"/>
      <c r="D430" s="1"/>
      <c r="E430" s="1"/>
      <c r="F430" s="1"/>
    </row>
    <row r="431" spans="1:6" ht="34.5" thickBot="1" x14ac:dyDescent="0.3">
      <c r="A431" s="4" t="s">
        <v>19</v>
      </c>
      <c r="B431" s="4" t="s">
        <v>20</v>
      </c>
      <c r="C431" s="4" t="s">
        <v>21</v>
      </c>
      <c r="D431" s="4" t="s">
        <v>22</v>
      </c>
      <c r="E431" s="4" t="s">
        <v>23</v>
      </c>
      <c r="F431" s="4" t="s">
        <v>24</v>
      </c>
    </row>
    <row r="432" spans="1:6" ht="15.75" thickBot="1" x14ac:dyDescent="0.3">
      <c r="A432" s="32" t="s">
        <v>145</v>
      </c>
      <c r="B432" s="32" t="s">
        <v>146</v>
      </c>
      <c r="C432" s="32" t="s">
        <v>129</v>
      </c>
      <c r="D432" s="6" t="s">
        <v>28</v>
      </c>
      <c r="E432" s="32" t="s">
        <v>29</v>
      </c>
      <c r="F432" s="6"/>
    </row>
    <row r="433" spans="1:6" ht="15.75" thickBot="1" x14ac:dyDescent="0.3">
      <c r="A433" s="35" t="s">
        <v>31</v>
      </c>
      <c r="B433" s="7" t="s">
        <v>32</v>
      </c>
      <c r="C433" s="15">
        <v>45383</v>
      </c>
      <c r="D433" s="35" t="s">
        <v>33</v>
      </c>
      <c r="E433" s="7" t="s">
        <v>34</v>
      </c>
      <c r="F433" s="6"/>
    </row>
    <row r="434" spans="1:6" ht="15.75" thickBot="1" x14ac:dyDescent="0.3">
      <c r="A434" s="36"/>
      <c r="B434" s="7" t="s">
        <v>36</v>
      </c>
      <c r="C434" s="5">
        <v>2</v>
      </c>
      <c r="D434" s="36"/>
      <c r="E434" s="7" t="s">
        <v>37</v>
      </c>
      <c r="F434" s="6"/>
    </row>
    <row r="435" spans="1:6" ht="15.75" thickBot="1" x14ac:dyDescent="0.3">
      <c r="A435" s="36"/>
      <c r="B435" s="7" t="s">
        <v>39</v>
      </c>
      <c r="C435" s="15">
        <v>45473</v>
      </c>
      <c r="D435" s="36"/>
      <c r="E435" s="7" t="s">
        <v>40</v>
      </c>
      <c r="F435" s="6"/>
    </row>
    <row r="436" spans="1:6" ht="15.75" thickBot="1" x14ac:dyDescent="0.3">
      <c r="A436" s="36"/>
      <c r="B436" s="7" t="s">
        <v>36</v>
      </c>
      <c r="C436" s="5">
        <v>2</v>
      </c>
      <c r="D436" s="36"/>
      <c r="E436" s="7" t="s">
        <v>41</v>
      </c>
      <c r="F436" s="6"/>
    </row>
    <row r="437" spans="1:6" ht="15.75" thickBot="1" x14ac:dyDescent="0.3">
      <c r="A437" s="2"/>
      <c r="B437" s="2"/>
      <c r="C437" s="2"/>
      <c r="D437" s="2"/>
      <c r="E437" s="2"/>
      <c r="F437" s="2"/>
    </row>
    <row r="438" spans="1:6" ht="15.75" thickBot="1" x14ac:dyDescent="0.3">
      <c r="A438" s="12" t="s">
        <v>42</v>
      </c>
      <c r="B438" s="12" t="s">
        <v>43</v>
      </c>
      <c r="C438" s="12" t="s">
        <v>44</v>
      </c>
      <c r="D438" s="12" t="s">
        <v>45</v>
      </c>
      <c r="E438" s="12" t="s">
        <v>46</v>
      </c>
      <c r="F438" s="12" t="s">
        <v>47</v>
      </c>
    </row>
    <row r="439" spans="1:6" ht="67.5" x14ac:dyDescent="0.25">
      <c r="A439" s="8">
        <v>86101808</v>
      </c>
      <c r="B439" s="9" t="s">
        <v>148</v>
      </c>
      <c r="C439" s="8" t="s">
        <v>55</v>
      </c>
      <c r="D439" s="8">
        <v>2</v>
      </c>
      <c r="E439" s="11">
        <v>104150</v>
      </c>
      <c r="F439" s="10">
        <v>208300</v>
      </c>
    </row>
    <row r="440" spans="1:6" ht="22.5" x14ac:dyDescent="0.25">
      <c r="A440" s="8">
        <v>86111604</v>
      </c>
      <c r="B440" s="9" t="s">
        <v>147</v>
      </c>
      <c r="C440" s="33" t="s">
        <v>55</v>
      </c>
      <c r="D440" s="8">
        <v>2</v>
      </c>
      <c r="E440" s="11">
        <v>80000</v>
      </c>
      <c r="F440" s="10">
        <v>160000</v>
      </c>
    </row>
    <row r="441" spans="1:6" x14ac:dyDescent="0.25">
      <c r="A441" s="2"/>
      <c r="B441" s="2"/>
      <c r="C441" s="2"/>
      <c r="D441" s="2"/>
      <c r="E441" s="13" t="s">
        <v>87</v>
      </c>
      <c r="F441" s="14">
        <v>368300</v>
      </c>
    </row>
    <row r="442" spans="1:6" ht="15.75" thickBot="1" x14ac:dyDescent="0.3">
      <c r="A442" s="1"/>
      <c r="B442" s="1"/>
      <c r="C442" s="1"/>
      <c r="D442" s="1"/>
      <c r="E442" s="1"/>
      <c r="F442" s="1"/>
    </row>
    <row r="443" spans="1:6" ht="34.5" thickBot="1" x14ac:dyDescent="0.3">
      <c r="A443" s="4" t="s">
        <v>19</v>
      </c>
      <c r="B443" s="4" t="s">
        <v>20</v>
      </c>
      <c r="C443" s="4" t="s">
        <v>21</v>
      </c>
      <c r="D443" s="4" t="s">
        <v>22</v>
      </c>
      <c r="E443" s="4" t="s">
        <v>23</v>
      </c>
      <c r="F443" s="4" t="s">
        <v>24</v>
      </c>
    </row>
    <row r="444" spans="1:6" ht="15.75" thickBot="1" x14ac:dyDescent="0.3">
      <c r="A444" s="32" t="s">
        <v>154</v>
      </c>
      <c r="B444" s="32" t="s">
        <v>155</v>
      </c>
      <c r="C444" s="32" t="s">
        <v>129</v>
      </c>
      <c r="D444" s="6" t="s">
        <v>28</v>
      </c>
      <c r="E444" s="32" t="s">
        <v>29</v>
      </c>
      <c r="F444" s="6"/>
    </row>
    <row r="445" spans="1:6" ht="15.75" thickBot="1" x14ac:dyDescent="0.3">
      <c r="A445" s="35" t="s">
        <v>31</v>
      </c>
      <c r="B445" s="7" t="s">
        <v>32</v>
      </c>
      <c r="C445" s="15">
        <v>45383</v>
      </c>
      <c r="D445" s="35" t="s">
        <v>33</v>
      </c>
      <c r="E445" s="7" t="s">
        <v>34</v>
      </c>
      <c r="F445" s="6"/>
    </row>
    <row r="446" spans="1:6" ht="15.75" thickBot="1" x14ac:dyDescent="0.3">
      <c r="A446" s="36"/>
      <c r="B446" s="7" t="s">
        <v>36</v>
      </c>
      <c r="C446" s="5">
        <v>2</v>
      </c>
      <c r="D446" s="36"/>
      <c r="E446" s="7" t="s">
        <v>37</v>
      </c>
      <c r="F446" s="6"/>
    </row>
    <row r="447" spans="1:6" ht="15.75" thickBot="1" x14ac:dyDescent="0.3">
      <c r="A447" s="36"/>
      <c r="B447" s="7" t="s">
        <v>39</v>
      </c>
      <c r="C447" s="15">
        <v>45473</v>
      </c>
      <c r="D447" s="36"/>
      <c r="E447" s="7" t="s">
        <v>40</v>
      </c>
      <c r="F447" s="6"/>
    </row>
    <row r="448" spans="1:6" ht="15.75" thickBot="1" x14ac:dyDescent="0.3">
      <c r="A448" s="36"/>
      <c r="B448" s="7" t="s">
        <v>36</v>
      </c>
      <c r="C448" s="5">
        <v>2</v>
      </c>
      <c r="D448" s="36"/>
      <c r="E448" s="7" t="s">
        <v>41</v>
      </c>
      <c r="F448" s="6"/>
    </row>
    <row r="449" spans="1:6" ht="15.75" thickBot="1" x14ac:dyDescent="0.3">
      <c r="A449" s="2"/>
      <c r="B449" s="2"/>
      <c r="C449" s="2"/>
      <c r="D449" s="2"/>
      <c r="E449" s="2"/>
      <c r="F449" s="2"/>
    </row>
    <row r="450" spans="1:6" ht="15.75" thickBot="1" x14ac:dyDescent="0.3">
      <c r="A450" s="12" t="s">
        <v>42</v>
      </c>
      <c r="B450" s="12" t="s">
        <v>43</v>
      </c>
      <c r="C450" s="12" t="s">
        <v>44</v>
      </c>
      <c r="D450" s="12" t="s">
        <v>45</v>
      </c>
      <c r="E450" s="12" t="s">
        <v>46</v>
      </c>
      <c r="F450" s="12" t="s">
        <v>47</v>
      </c>
    </row>
    <row r="451" spans="1:6" ht="22.5" x14ac:dyDescent="0.25">
      <c r="A451" s="8">
        <v>80141607</v>
      </c>
      <c r="B451" s="9" t="s">
        <v>156</v>
      </c>
      <c r="C451" s="8" t="s">
        <v>55</v>
      </c>
      <c r="D451" s="8">
        <v>5</v>
      </c>
      <c r="E451" s="11">
        <v>50000</v>
      </c>
      <c r="F451" s="10">
        <v>250000</v>
      </c>
    </row>
    <row r="452" spans="1:6" x14ac:dyDescent="0.25">
      <c r="A452" s="2"/>
      <c r="B452" s="2"/>
      <c r="C452" s="2"/>
      <c r="D452" s="2"/>
      <c r="E452" s="13" t="s">
        <v>87</v>
      </c>
      <c r="F452" s="14">
        <v>250000</v>
      </c>
    </row>
    <row r="453" spans="1:6" ht="15.75" thickBot="1" x14ac:dyDescent="0.3">
      <c r="A453" s="1"/>
      <c r="B453" s="1"/>
      <c r="C453" s="1"/>
      <c r="D453" s="1"/>
      <c r="E453" s="1"/>
      <c r="F453" s="1"/>
    </row>
    <row r="454" spans="1:6" ht="34.5" thickBot="1" x14ac:dyDescent="0.3">
      <c r="A454" s="4" t="s">
        <v>19</v>
      </c>
      <c r="B454" s="4" t="s">
        <v>20</v>
      </c>
      <c r="C454" s="4" t="s">
        <v>21</v>
      </c>
      <c r="D454" s="4" t="s">
        <v>22</v>
      </c>
      <c r="E454" s="4" t="s">
        <v>23</v>
      </c>
      <c r="F454" s="4" t="s">
        <v>24</v>
      </c>
    </row>
    <row r="455" spans="1:6" ht="15.75" thickBot="1" x14ac:dyDescent="0.3">
      <c r="A455" s="32" t="s">
        <v>179</v>
      </c>
      <c r="B455" s="32" t="s">
        <v>180</v>
      </c>
      <c r="C455" s="32" t="s">
        <v>129</v>
      </c>
      <c r="D455" s="6" t="s">
        <v>188</v>
      </c>
      <c r="E455" s="32" t="s">
        <v>29</v>
      </c>
      <c r="F455" s="6"/>
    </row>
    <row r="456" spans="1:6" ht="15.75" thickBot="1" x14ac:dyDescent="0.3">
      <c r="A456" s="35" t="s">
        <v>31</v>
      </c>
      <c r="B456" s="7" t="s">
        <v>32</v>
      </c>
      <c r="C456" s="15">
        <v>45383</v>
      </c>
      <c r="D456" s="35" t="s">
        <v>33</v>
      </c>
      <c r="E456" s="7" t="s">
        <v>34</v>
      </c>
      <c r="F456" s="6"/>
    </row>
    <row r="457" spans="1:6" ht="15.75" thickBot="1" x14ac:dyDescent="0.3">
      <c r="A457" s="36"/>
      <c r="B457" s="7" t="s">
        <v>36</v>
      </c>
      <c r="C457" s="5">
        <v>2</v>
      </c>
      <c r="D457" s="36"/>
      <c r="E457" s="7" t="s">
        <v>37</v>
      </c>
      <c r="F457" s="6"/>
    </row>
    <row r="458" spans="1:6" ht="15.75" thickBot="1" x14ac:dyDescent="0.3">
      <c r="A458" s="36"/>
      <c r="B458" s="7" t="s">
        <v>39</v>
      </c>
      <c r="C458" s="15">
        <v>45473</v>
      </c>
      <c r="D458" s="36"/>
      <c r="E458" s="7" t="s">
        <v>40</v>
      </c>
      <c r="F458" s="6"/>
    </row>
    <row r="459" spans="1:6" ht="15.75" thickBot="1" x14ac:dyDescent="0.3">
      <c r="A459" s="36"/>
      <c r="B459" s="7" t="s">
        <v>36</v>
      </c>
      <c r="C459" s="5">
        <v>2</v>
      </c>
      <c r="D459" s="36"/>
      <c r="E459" s="7" t="s">
        <v>41</v>
      </c>
      <c r="F459" s="6"/>
    </row>
    <row r="460" spans="1:6" ht="15.75" thickBot="1" x14ac:dyDescent="0.3">
      <c r="A460" s="2"/>
      <c r="B460" s="2"/>
      <c r="C460" s="2"/>
      <c r="D460" s="2"/>
      <c r="E460" s="2"/>
      <c r="F460" s="2"/>
    </row>
    <row r="461" spans="1:6" ht="15.75" thickBot="1" x14ac:dyDescent="0.3">
      <c r="A461" s="12" t="s">
        <v>42</v>
      </c>
      <c r="B461" s="12" t="s">
        <v>43</v>
      </c>
      <c r="C461" s="12" t="s">
        <v>44</v>
      </c>
      <c r="D461" s="12" t="s">
        <v>45</v>
      </c>
      <c r="E461" s="12" t="s">
        <v>46</v>
      </c>
      <c r="F461" s="12" t="s">
        <v>47</v>
      </c>
    </row>
    <row r="462" spans="1:6" ht="22.5" x14ac:dyDescent="0.25">
      <c r="A462" s="8">
        <v>40161504</v>
      </c>
      <c r="B462" s="9" t="s">
        <v>203</v>
      </c>
      <c r="C462" s="8" t="s">
        <v>55</v>
      </c>
      <c r="D462" s="8">
        <v>2</v>
      </c>
      <c r="E462" s="11">
        <v>900</v>
      </c>
      <c r="F462" s="10">
        <v>1800</v>
      </c>
    </row>
    <row r="463" spans="1:6" ht="22.5" x14ac:dyDescent="0.25">
      <c r="A463" s="8">
        <v>40161513</v>
      </c>
      <c r="B463" s="9" t="s">
        <v>204</v>
      </c>
      <c r="C463" s="33" t="s">
        <v>55</v>
      </c>
      <c r="D463" s="8">
        <v>2</v>
      </c>
      <c r="E463" s="11">
        <v>900</v>
      </c>
      <c r="F463" s="10">
        <v>1800</v>
      </c>
    </row>
    <row r="464" spans="1:6" ht="33.75" x14ac:dyDescent="0.25">
      <c r="A464" s="8">
        <v>15121520</v>
      </c>
      <c r="B464" s="9" t="s">
        <v>205</v>
      </c>
      <c r="C464" s="33" t="s">
        <v>55</v>
      </c>
      <c r="D464" s="8">
        <v>2</v>
      </c>
      <c r="E464" s="11">
        <v>1500</v>
      </c>
      <c r="F464" s="10">
        <v>3000</v>
      </c>
    </row>
    <row r="465" spans="1:6" x14ac:dyDescent="0.25">
      <c r="A465" s="8">
        <v>15121501</v>
      </c>
      <c r="B465" s="9" t="s">
        <v>206</v>
      </c>
      <c r="C465" s="8" t="s">
        <v>92</v>
      </c>
      <c r="D465" s="8">
        <v>2</v>
      </c>
      <c r="E465" s="11">
        <v>8000</v>
      </c>
      <c r="F465" s="10">
        <v>16000</v>
      </c>
    </row>
    <row r="466" spans="1:6" ht="22.5" x14ac:dyDescent="0.25">
      <c r="A466" s="8">
        <v>15121504</v>
      </c>
      <c r="B466" s="9" t="s">
        <v>207</v>
      </c>
      <c r="C466" s="33" t="s">
        <v>92</v>
      </c>
      <c r="D466" s="8">
        <v>2</v>
      </c>
      <c r="E466" s="11">
        <v>10000</v>
      </c>
      <c r="F466" s="10">
        <v>20000</v>
      </c>
    </row>
    <row r="467" spans="1:6" x14ac:dyDescent="0.25">
      <c r="A467" s="8">
        <v>15121902</v>
      </c>
      <c r="B467" s="9" t="s">
        <v>208</v>
      </c>
      <c r="C467" s="33" t="s">
        <v>92</v>
      </c>
      <c r="D467" s="8">
        <v>3</v>
      </c>
      <c r="E467" s="11">
        <v>2400</v>
      </c>
      <c r="F467" s="10">
        <v>7200</v>
      </c>
    </row>
    <row r="468" spans="1:6" x14ac:dyDescent="0.25">
      <c r="A468" s="2"/>
      <c r="B468" s="2"/>
      <c r="C468" s="2"/>
      <c r="D468" s="2"/>
      <c r="E468" s="13" t="s">
        <v>87</v>
      </c>
      <c r="F468" s="14">
        <v>49800</v>
      </c>
    </row>
    <row r="469" spans="1:6" ht="15.75" thickBot="1" x14ac:dyDescent="0.3">
      <c r="A469" s="1"/>
      <c r="B469" s="1"/>
      <c r="C469" s="1"/>
      <c r="D469" s="1"/>
      <c r="E469" s="1"/>
      <c r="F469" s="1"/>
    </row>
    <row r="470" spans="1:6" ht="34.5" thickBot="1" x14ac:dyDescent="0.3">
      <c r="A470" s="4" t="s">
        <v>19</v>
      </c>
      <c r="B470" s="4" t="s">
        <v>20</v>
      </c>
      <c r="C470" s="4" t="s">
        <v>21</v>
      </c>
      <c r="D470" s="4" t="s">
        <v>22</v>
      </c>
      <c r="E470" s="4" t="s">
        <v>23</v>
      </c>
      <c r="F470" s="4" t="s">
        <v>24</v>
      </c>
    </row>
    <row r="471" spans="1:6" ht="15.75" thickBot="1" x14ac:dyDescent="0.3">
      <c r="A471" s="32" t="s">
        <v>186</v>
      </c>
      <c r="B471" s="32" t="s">
        <v>187</v>
      </c>
      <c r="C471" s="32" t="s">
        <v>129</v>
      </c>
      <c r="D471" s="6" t="s">
        <v>188</v>
      </c>
      <c r="E471" s="32" t="s">
        <v>29</v>
      </c>
      <c r="F471" s="6"/>
    </row>
    <row r="472" spans="1:6" ht="15.75" thickBot="1" x14ac:dyDescent="0.3">
      <c r="A472" s="35" t="s">
        <v>31</v>
      </c>
      <c r="B472" s="7" t="s">
        <v>32</v>
      </c>
      <c r="C472" s="15">
        <v>45383</v>
      </c>
      <c r="D472" s="35" t="s">
        <v>33</v>
      </c>
      <c r="E472" s="7" t="s">
        <v>34</v>
      </c>
      <c r="F472" s="6"/>
    </row>
    <row r="473" spans="1:6" ht="15.75" thickBot="1" x14ac:dyDescent="0.3">
      <c r="A473" s="36"/>
      <c r="B473" s="7" t="s">
        <v>36</v>
      </c>
      <c r="C473" s="5">
        <v>2</v>
      </c>
      <c r="D473" s="36"/>
      <c r="E473" s="7" t="s">
        <v>37</v>
      </c>
      <c r="F473" s="6"/>
    </row>
    <row r="474" spans="1:6" ht="15.75" thickBot="1" x14ac:dyDescent="0.3">
      <c r="A474" s="36"/>
      <c r="B474" s="7" t="s">
        <v>39</v>
      </c>
      <c r="C474" s="15">
        <v>45473</v>
      </c>
      <c r="D474" s="36"/>
      <c r="E474" s="7" t="s">
        <v>40</v>
      </c>
      <c r="F474" s="6"/>
    </row>
    <row r="475" spans="1:6" ht="15.75" thickBot="1" x14ac:dyDescent="0.3">
      <c r="A475" s="36"/>
      <c r="B475" s="7" t="s">
        <v>36</v>
      </c>
      <c r="C475" s="5">
        <v>2</v>
      </c>
      <c r="D475" s="36"/>
      <c r="E475" s="7" t="s">
        <v>41</v>
      </c>
      <c r="F475" s="6"/>
    </row>
    <row r="476" spans="1:6" ht="15.75" thickBot="1" x14ac:dyDescent="0.3">
      <c r="A476" s="2"/>
      <c r="B476" s="2"/>
      <c r="C476" s="2"/>
      <c r="D476" s="2"/>
      <c r="E476" s="2"/>
      <c r="F476" s="2"/>
    </row>
    <row r="477" spans="1:6" ht="15.75" thickBot="1" x14ac:dyDescent="0.3">
      <c r="A477" s="12" t="s">
        <v>42</v>
      </c>
      <c r="B477" s="12" t="s">
        <v>43</v>
      </c>
      <c r="C477" s="12" t="s">
        <v>44</v>
      </c>
      <c r="D477" s="12" t="s">
        <v>45</v>
      </c>
      <c r="E477" s="12" t="s">
        <v>46</v>
      </c>
      <c r="F477" s="12" t="s">
        <v>47</v>
      </c>
    </row>
    <row r="478" spans="1:6" ht="22.5" x14ac:dyDescent="0.25">
      <c r="A478" s="8">
        <v>10161707</v>
      </c>
      <c r="B478" s="9" t="s">
        <v>190</v>
      </c>
      <c r="C478" s="8" t="s">
        <v>55</v>
      </c>
      <c r="D478" s="8">
        <v>2</v>
      </c>
      <c r="E478" s="11">
        <v>37500</v>
      </c>
      <c r="F478" s="10">
        <v>75000</v>
      </c>
    </row>
    <row r="479" spans="1:6" x14ac:dyDescent="0.25">
      <c r="A479" s="2"/>
      <c r="B479" s="2"/>
      <c r="C479" s="2"/>
      <c r="D479" s="2"/>
      <c r="E479" s="13" t="s">
        <v>87</v>
      </c>
      <c r="F479" s="14">
        <v>75000</v>
      </c>
    </row>
    <row r="480" spans="1:6" ht="15.75" thickBot="1" x14ac:dyDescent="0.3">
      <c r="A480" s="1"/>
      <c r="B480" s="1"/>
      <c r="C480" s="1"/>
      <c r="D480" s="1"/>
      <c r="E480" s="1"/>
      <c r="F480" s="1"/>
    </row>
    <row r="481" spans="1:6" ht="34.5" thickBot="1" x14ac:dyDescent="0.3">
      <c r="A481" s="4" t="s">
        <v>19</v>
      </c>
      <c r="B481" s="4" t="s">
        <v>20</v>
      </c>
      <c r="C481" s="4" t="s">
        <v>21</v>
      </c>
      <c r="D481" s="4" t="s">
        <v>22</v>
      </c>
      <c r="E481" s="4" t="s">
        <v>23</v>
      </c>
      <c r="F481" s="4" t="s">
        <v>24</v>
      </c>
    </row>
    <row r="482" spans="1:6" ht="15.75" thickBot="1" x14ac:dyDescent="0.3">
      <c r="A482" s="32" t="s">
        <v>191</v>
      </c>
      <c r="B482" s="32" t="s">
        <v>192</v>
      </c>
      <c r="C482" s="32" t="s">
        <v>129</v>
      </c>
      <c r="D482" s="6" t="s">
        <v>28</v>
      </c>
      <c r="E482" s="32" t="s">
        <v>29</v>
      </c>
      <c r="F482" s="6"/>
    </row>
    <row r="483" spans="1:6" ht="15.75" thickBot="1" x14ac:dyDescent="0.3">
      <c r="A483" s="35" t="s">
        <v>31</v>
      </c>
      <c r="B483" s="7" t="s">
        <v>32</v>
      </c>
      <c r="C483" s="15">
        <v>45383</v>
      </c>
      <c r="D483" s="35" t="s">
        <v>33</v>
      </c>
      <c r="E483" s="7" t="s">
        <v>34</v>
      </c>
      <c r="F483" s="6"/>
    </row>
    <row r="484" spans="1:6" ht="15.75" thickBot="1" x14ac:dyDescent="0.3">
      <c r="A484" s="36"/>
      <c r="B484" s="7" t="s">
        <v>36</v>
      </c>
      <c r="C484" s="5">
        <v>2</v>
      </c>
      <c r="D484" s="36"/>
      <c r="E484" s="7" t="s">
        <v>37</v>
      </c>
      <c r="F484" s="6"/>
    </row>
    <row r="485" spans="1:6" ht="15.75" thickBot="1" x14ac:dyDescent="0.3">
      <c r="A485" s="36"/>
      <c r="B485" s="7" t="s">
        <v>39</v>
      </c>
      <c r="C485" s="15">
        <v>45473</v>
      </c>
      <c r="D485" s="36"/>
      <c r="E485" s="7" t="s">
        <v>40</v>
      </c>
      <c r="F485" s="6"/>
    </row>
    <row r="486" spans="1:6" ht="15.75" thickBot="1" x14ac:dyDescent="0.3">
      <c r="A486" s="36"/>
      <c r="B486" s="7" t="s">
        <v>36</v>
      </c>
      <c r="C486" s="5">
        <v>2</v>
      </c>
      <c r="D486" s="36"/>
      <c r="E486" s="7" t="s">
        <v>41</v>
      </c>
      <c r="F486" s="6"/>
    </row>
    <row r="487" spans="1:6" ht="15.75" thickBot="1" x14ac:dyDescent="0.3">
      <c r="A487" s="2"/>
      <c r="B487" s="2"/>
      <c r="C487" s="2"/>
      <c r="D487" s="2"/>
      <c r="E487" s="2"/>
      <c r="F487" s="2"/>
    </row>
    <row r="488" spans="1:6" ht="15.75" thickBot="1" x14ac:dyDescent="0.3">
      <c r="A488" s="12" t="s">
        <v>42</v>
      </c>
      <c r="B488" s="12" t="s">
        <v>43</v>
      </c>
      <c r="C488" s="12" t="s">
        <v>44</v>
      </c>
      <c r="D488" s="12" t="s">
        <v>45</v>
      </c>
      <c r="E488" s="12" t="s">
        <v>46</v>
      </c>
      <c r="F488" s="12" t="s">
        <v>47</v>
      </c>
    </row>
    <row r="489" spans="1:6" x14ac:dyDescent="0.25">
      <c r="A489" s="8">
        <v>84101601</v>
      </c>
      <c r="B489" s="9" t="s">
        <v>193</v>
      </c>
      <c r="C489" s="8" t="s">
        <v>55</v>
      </c>
      <c r="D489" s="8">
        <v>3</v>
      </c>
      <c r="E489" s="11">
        <v>112484</v>
      </c>
      <c r="F489" s="10">
        <v>337452</v>
      </c>
    </row>
    <row r="490" spans="1:6" x14ac:dyDescent="0.25">
      <c r="A490" s="2"/>
      <c r="B490" s="2"/>
      <c r="C490" s="2"/>
      <c r="D490" s="2"/>
      <c r="E490" s="13" t="s">
        <v>87</v>
      </c>
      <c r="F490" s="14">
        <v>337452</v>
      </c>
    </row>
    <row r="491" spans="1:6" ht="15.75" thickBot="1" x14ac:dyDescent="0.3">
      <c r="A491" s="1"/>
      <c r="B491" s="1"/>
      <c r="C491" s="1"/>
      <c r="D491" s="1"/>
      <c r="E491" s="1"/>
      <c r="F491" s="1"/>
    </row>
    <row r="492" spans="1:6" ht="34.5" thickBot="1" x14ac:dyDescent="0.3">
      <c r="A492" s="4" t="s">
        <v>19</v>
      </c>
      <c r="B492" s="4" t="s">
        <v>20</v>
      </c>
      <c r="C492" s="4" t="s">
        <v>21</v>
      </c>
      <c r="D492" s="4" t="s">
        <v>22</v>
      </c>
      <c r="E492" s="4" t="s">
        <v>23</v>
      </c>
      <c r="F492" s="4" t="s">
        <v>24</v>
      </c>
    </row>
    <row r="493" spans="1:6" ht="15.75" thickBot="1" x14ac:dyDescent="0.3">
      <c r="A493" s="32" t="s">
        <v>88</v>
      </c>
      <c r="B493" s="32" t="s">
        <v>89</v>
      </c>
      <c r="C493" s="6" t="s">
        <v>27</v>
      </c>
      <c r="D493" s="6" t="s">
        <v>28</v>
      </c>
      <c r="E493" s="32" t="s">
        <v>29</v>
      </c>
      <c r="F493" s="6"/>
    </row>
    <row r="494" spans="1:6" ht="15.75" thickBot="1" x14ac:dyDescent="0.3">
      <c r="A494" s="35" t="s">
        <v>31</v>
      </c>
      <c r="B494" s="7" t="s">
        <v>32</v>
      </c>
      <c r="C494" s="15">
        <v>45474</v>
      </c>
      <c r="D494" s="35" t="s">
        <v>33</v>
      </c>
      <c r="E494" s="7" t="s">
        <v>34</v>
      </c>
      <c r="F494" s="6"/>
    </row>
    <row r="495" spans="1:6" ht="15.75" thickBot="1" x14ac:dyDescent="0.3">
      <c r="A495" s="36"/>
      <c r="B495" s="7" t="s">
        <v>36</v>
      </c>
      <c r="C495" s="5">
        <v>3</v>
      </c>
      <c r="D495" s="36"/>
      <c r="E495" s="7" t="s">
        <v>37</v>
      </c>
      <c r="F495" s="6"/>
    </row>
    <row r="496" spans="1:6" ht="15.75" thickBot="1" x14ac:dyDescent="0.3">
      <c r="A496" s="36"/>
      <c r="B496" s="7" t="s">
        <v>39</v>
      </c>
      <c r="C496" s="15">
        <v>45565</v>
      </c>
      <c r="D496" s="36"/>
      <c r="E496" s="7" t="s">
        <v>40</v>
      </c>
      <c r="F496" s="6"/>
    </row>
    <row r="497" spans="1:6" ht="15.75" thickBot="1" x14ac:dyDescent="0.3">
      <c r="A497" s="36"/>
      <c r="B497" s="7" t="s">
        <v>36</v>
      </c>
      <c r="C497" s="5">
        <v>3</v>
      </c>
      <c r="D497" s="36"/>
      <c r="E497" s="7" t="s">
        <v>41</v>
      </c>
      <c r="F497" s="6"/>
    </row>
    <row r="498" spans="1:6" ht="15.75" thickBot="1" x14ac:dyDescent="0.3">
      <c r="A498" s="2"/>
      <c r="B498" s="2"/>
      <c r="C498" s="2"/>
      <c r="D498" s="2"/>
      <c r="E498" s="2"/>
      <c r="F498" s="2"/>
    </row>
    <row r="499" spans="1:6" ht="15.75" thickBot="1" x14ac:dyDescent="0.3">
      <c r="A499" s="12" t="s">
        <v>42</v>
      </c>
      <c r="B499" s="12" t="s">
        <v>43</v>
      </c>
      <c r="C499" s="12" t="s">
        <v>44</v>
      </c>
      <c r="D499" s="12" t="s">
        <v>45</v>
      </c>
      <c r="E499" s="12" t="s">
        <v>46</v>
      </c>
      <c r="F499" s="12" t="s">
        <v>47</v>
      </c>
    </row>
    <row r="500" spans="1:6" x14ac:dyDescent="0.25">
      <c r="A500" s="8">
        <v>15101506</v>
      </c>
      <c r="B500" s="9" t="s">
        <v>91</v>
      </c>
      <c r="C500" s="8" t="s">
        <v>92</v>
      </c>
      <c r="D500" s="8">
        <v>3004</v>
      </c>
      <c r="E500" s="11">
        <v>274.5</v>
      </c>
      <c r="F500" s="10">
        <v>824598</v>
      </c>
    </row>
    <row r="501" spans="1:6" x14ac:dyDescent="0.25">
      <c r="A501" s="2"/>
      <c r="B501" s="2"/>
      <c r="C501" s="2"/>
      <c r="D501" s="2"/>
      <c r="E501" s="13" t="s">
        <v>87</v>
      </c>
      <c r="F501" s="14">
        <v>824598</v>
      </c>
    </row>
    <row r="502" spans="1:6" ht="15.75" thickBot="1" x14ac:dyDescent="0.3">
      <c r="A502" s="1"/>
      <c r="B502" s="1"/>
      <c r="C502" s="1"/>
      <c r="D502" s="1"/>
      <c r="E502" s="1"/>
      <c r="F502" s="1"/>
    </row>
    <row r="503" spans="1:6" ht="34.5" thickBot="1" x14ac:dyDescent="0.3">
      <c r="A503" s="4" t="s">
        <v>19</v>
      </c>
      <c r="B503" s="4" t="s">
        <v>20</v>
      </c>
      <c r="C503" s="4" t="s">
        <v>21</v>
      </c>
      <c r="D503" s="4" t="s">
        <v>22</v>
      </c>
      <c r="E503" s="4" t="s">
        <v>23</v>
      </c>
      <c r="F503" s="4" t="s">
        <v>24</v>
      </c>
    </row>
    <row r="504" spans="1:6" ht="15.75" thickBot="1" x14ac:dyDescent="0.3">
      <c r="A504" s="6" t="s">
        <v>95</v>
      </c>
      <c r="B504" s="6" t="s">
        <v>96</v>
      </c>
      <c r="C504" s="6" t="s">
        <v>27</v>
      </c>
      <c r="D504" s="6" t="s">
        <v>28</v>
      </c>
      <c r="E504" s="32" t="s">
        <v>29</v>
      </c>
      <c r="F504" s="6"/>
    </row>
    <row r="505" spans="1:6" ht="15.75" thickBot="1" x14ac:dyDescent="0.3">
      <c r="A505" s="35" t="s">
        <v>31</v>
      </c>
      <c r="B505" s="7" t="s">
        <v>32</v>
      </c>
      <c r="C505" s="15">
        <v>45474</v>
      </c>
      <c r="D505" s="35" t="s">
        <v>33</v>
      </c>
      <c r="E505" s="7" t="s">
        <v>34</v>
      </c>
      <c r="F505" s="6"/>
    </row>
    <row r="506" spans="1:6" ht="15.75" thickBot="1" x14ac:dyDescent="0.3">
      <c r="A506" s="36"/>
      <c r="B506" s="7" t="s">
        <v>36</v>
      </c>
      <c r="C506" s="5">
        <v>3</v>
      </c>
      <c r="D506" s="36"/>
      <c r="E506" s="7" t="s">
        <v>37</v>
      </c>
      <c r="F506" s="6"/>
    </row>
    <row r="507" spans="1:6" ht="15.75" thickBot="1" x14ac:dyDescent="0.3">
      <c r="A507" s="36"/>
      <c r="B507" s="7" t="s">
        <v>39</v>
      </c>
      <c r="C507" s="15">
        <v>45565</v>
      </c>
      <c r="D507" s="36"/>
      <c r="E507" s="7" t="s">
        <v>40</v>
      </c>
      <c r="F507" s="6"/>
    </row>
    <row r="508" spans="1:6" ht="15.75" thickBot="1" x14ac:dyDescent="0.3">
      <c r="A508" s="36"/>
      <c r="B508" s="7" t="s">
        <v>36</v>
      </c>
      <c r="C508" s="5">
        <v>3</v>
      </c>
      <c r="D508" s="36"/>
      <c r="E508" s="7" t="s">
        <v>41</v>
      </c>
      <c r="F508" s="6"/>
    </row>
    <row r="509" spans="1:6" ht="15.75" thickBot="1" x14ac:dyDescent="0.3">
      <c r="A509" s="2"/>
      <c r="B509" s="2"/>
      <c r="C509" s="2"/>
      <c r="D509" s="2"/>
      <c r="E509" s="2"/>
      <c r="F509" s="2"/>
    </row>
    <row r="510" spans="1:6" ht="15.75" thickBot="1" x14ac:dyDescent="0.3">
      <c r="A510" s="12" t="s">
        <v>42</v>
      </c>
      <c r="B510" s="12" t="s">
        <v>43</v>
      </c>
      <c r="C510" s="12" t="s">
        <v>44</v>
      </c>
      <c r="D510" s="12" t="s">
        <v>45</v>
      </c>
      <c r="E510" s="12" t="s">
        <v>46</v>
      </c>
      <c r="F510" s="12" t="s">
        <v>47</v>
      </c>
    </row>
    <row r="511" spans="1:6" ht="33.75" x14ac:dyDescent="0.25">
      <c r="A511" s="8">
        <v>25172502</v>
      </c>
      <c r="B511" s="9" t="s">
        <v>97</v>
      </c>
      <c r="C511" s="8" t="s">
        <v>55</v>
      </c>
      <c r="D511" s="8">
        <v>8</v>
      </c>
      <c r="E511" s="11">
        <v>12500</v>
      </c>
      <c r="F511" s="10">
        <v>100000</v>
      </c>
    </row>
    <row r="512" spans="1:6" ht="33.75" x14ac:dyDescent="0.25">
      <c r="A512" s="8">
        <v>25172502</v>
      </c>
      <c r="B512" s="9" t="s">
        <v>97</v>
      </c>
      <c r="C512" s="33" t="s">
        <v>55</v>
      </c>
      <c r="D512" s="8">
        <v>12</v>
      </c>
      <c r="E512" s="11">
        <v>10825</v>
      </c>
      <c r="F512" s="10">
        <v>129900</v>
      </c>
    </row>
    <row r="513" spans="1:6" x14ac:dyDescent="0.25">
      <c r="A513" s="2"/>
      <c r="B513" s="2"/>
      <c r="C513" s="2"/>
      <c r="D513" s="2"/>
      <c r="E513" s="13" t="s">
        <v>87</v>
      </c>
      <c r="F513" s="14">
        <v>229900</v>
      </c>
    </row>
    <row r="514" spans="1:6" ht="15.75" thickBot="1" x14ac:dyDescent="0.3">
      <c r="A514" s="1"/>
      <c r="B514" s="1"/>
      <c r="C514" s="1"/>
      <c r="D514" s="1"/>
      <c r="E514" s="1"/>
      <c r="F514" s="1"/>
    </row>
    <row r="515" spans="1:6" ht="34.5" thickBot="1" x14ac:dyDescent="0.3">
      <c r="A515" s="4" t="s">
        <v>19</v>
      </c>
      <c r="B515" s="4" t="s">
        <v>20</v>
      </c>
      <c r="C515" s="4" t="s">
        <v>21</v>
      </c>
      <c r="D515" s="4" t="s">
        <v>22</v>
      </c>
      <c r="E515" s="4" t="s">
        <v>23</v>
      </c>
      <c r="F515" s="4" t="s">
        <v>24</v>
      </c>
    </row>
    <row r="516" spans="1:6" ht="15.75" thickBot="1" x14ac:dyDescent="0.3">
      <c r="A516" s="32" t="s">
        <v>98</v>
      </c>
      <c r="B516" s="32" t="s">
        <v>99</v>
      </c>
      <c r="C516" s="6" t="s">
        <v>27</v>
      </c>
      <c r="D516" s="6" t="s">
        <v>28</v>
      </c>
      <c r="E516" s="32" t="s">
        <v>29</v>
      </c>
      <c r="F516" s="6"/>
    </row>
    <row r="517" spans="1:6" ht="15.75" thickBot="1" x14ac:dyDescent="0.3">
      <c r="A517" s="35" t="s">
        <v>31</v>
      </c>
      <c r="B517" s="7" t="s">
        <v>32</v>
      </c>
      <c r="C517" s="15">
        <v>45474</v>
      </c>
      <c r="D517" s="35" t="s">
        <v>33</v>
      </c>
      <c r="E517" s="7" t="s">
        <v>34</v>
      </c>
      <c r="F517" s="6"/>
    </row>
    <row r="518" spans="1:6" ht="15.75" thickBot="1" x14ac:dyDescent="0.3">
      <c r="A518" s="36"/>
      <c r="B518" s="7" t="s">
        <v>36</v>
      </c>
      <c r="C518" s="5">
        <v>3</v>
      </c>
      <c r="D518" s="36"/>
      <c r="E518" s="7" t="s">
        <v>37</v>
      </c>
      <c r="F518" s="6"/>
    </row>
    <row r="519" spans="1:6" ht="15.75" thickBot="1" x14ac:dyDescent="0.3">
      <c r="A519" s="36"/>
      <c r="B519" s="7" t="s">
        <v>39</v>
      </c>
      <c r="C519" s="15">
        <v>45565</v>
      </c>
      <c r="D519" s="36"/>
      <c r="E519" s="7" t="s">
        <v>40</v>
      </c>
      <c r="F519" s="6"/>
    </row>
    <row r="520" spans="1:6" ht="15.75" thickBot="1" x14ac:dyDescent="0.3">
      <c r="A520" s="36"/>
      <c r="B520" s="7" t="s">
        <v>36</v>
      </c>
      <c r="C520" s="5">
        <v>3</v>
      </c>
      <c r="D520" s="36"/>
      <c r="E520" s="7" t="s">
        <v>41</v>
      </c>
      <c r="F520" s="6"/>
    </row>
    <row r="521" spans="1:6" ht="15.75" thickBot="1" x14ac:dyDescent="0.3">
      <c r="A521" s="2"/>
      <c r="B521" s="2"/>
      <c r="C521" s="2"/>
      <c r="D521" s="2"/>
      <c r="E521" s="2"/>
      <c r="F521" s="2"/>
    </row>
    <row r="522" spans="1:6" ht="15.75" thickBot="1" x14ac:dyDescent="0.3">
      <c r="A522" s="12" t="s">
        <v>42</v>
      </c>
      <c r="B522" s="12" t="s">
        <v>43</v>
      </c>
      <c r="C522" s="12" t="s">
        <v>44</v>
      </c>
      <c r="D522" s="12" t="s">
        <v>45</v>
      </c>
      <c r="E522" s="12" t="s">
        <v>46</v>
      </c>
      <c r="F522" s="12" t="s">
        <v>47</v>
      </c>
    </row>
    <row r="523" spans="1:6" ht="33.75" x14ac:dyDescent="0.25">
      <c r="A523" s="8">
        <v>47131803</v>
      </c>
      <c r="B523" s="9" t="s">
        <v>100</v>
      </c>
      <c r="C523" s="8" t="s">
        <v>55</v>
      </c>
      <c r="D523" s="8">
        <v>24</v>
      </c>
      <c r="E523" s="11">
        <v>550</v>
      </c>
      <c r="F523" s="10">
        <v>13200</v>
      </c>
    </row>
    <row r="524" spans="1:6" ht="22.5" x14ac:dyDescent="0.25">
      <c r="A524" s="8">
        <v>47131801</v>
      </c>
      <c r="B524" s="9" t="s">
        <v>101</v>
      </c>
      <c r="C524" s="33" t="s">
        <v>55</v>
      </c>
      <c r="D524" s="8">
        <v>25</v>
      </c>
      <c r="E524" s="11">
        <v>440</v>
      </c>
      <c r="F524" s="10">
        <v>11000</v>
      </c>
    </row>
    <row r="525" spans="1:6" ht="33.75" x14ac:dyDescent="0.25">
      <c r="A525" s="8">
        <v>47131805</v>
      </c>
      <c r="B525" s="9" t="s">
        <v>102</v>
      </c>
      <c r="C525" s="33" t="s">
        <v>55</v>
      </c>
      <c r="D525" s="8">
        <v>25</v>
      </c>
      <c r="E525" s="11">
        <v>935</v>
      </c>
      <c r="F525" s="10">
        <v>23375</v>
      </c>
    </row>
    <row r="526" spans="1:6" x14ac:dyDescent="0.25">
      <c r="A526" s="8">
        <v>47131604</v>
      </c>
      <c r="B526" s="9" t="s">
        <v>103</v>
      </c>
      <c r="C526" s="33" t="s">
        <v>55</v>
      </c>
      <c r="D526" s="8">
        <v>30</v>
      </c>
      <c r="E526" s="11">
        <v>440</v>
      </c>
      <c r="F526" s="10">
        <v>13200</v>
      </c>
    </row>
    <row r="527" spans="1:6" ht="22.5" x14ac:dyDescent="0.25">
      <c r="A527" s="8">
        <v>47121701</v>
      </c>
      <c r="B527" s="9" t="s">
        <v>104</v>
      </c>
      <c r="C527" s="8" t="s">
        <v>74</v>
      </c>
      <c r="D527" s="8">
        <v>24</v>
      </c>
      <c r="E527" s="11">
        <v>440</v>
      </c>
      <c r="F527" s="10">
        <v>10560</v>
      </c>
    </row>
    <row r="528" spans="1:6" ht="22.5" x14ac:dyDescent="0.25">
      <c r="A528" s="8">
        <v>14111703</v>
      </c>
      <c r="B528" s="9" t="s">
        <v>105</v>
      </c>
      <c r="C528" s="33" t="s">
        <v>55</v>
      </c>
      <c r="D528" s="8">
        <v>24</v>
      </c>
      <c r="E528" s="11">
        <v>1980</v>
      </c>
      <c r="F528" s="10">
        <v>47520</v>
      </c>
    </row>
    <row r="529" spans="1:6" x14ac:dyDescent="0.25">
      <c r="A529" s="8">
        <v>10191509</v>
      </c>
      <c r="B529" s="9" t="s">
        <v>106</v>
      </c>
      <c r="C529" s="33" t="s">
        <v>55</v>
      </c>
      <c r="D529" s="8">
        <v>20</v>
      </c>
      <c r="E529" s="11">
        <v>1650</v>
      </c>
      <c r="F529" s="10">
        <v>33000</v>
      </c>
    </row>
    <row r="530" spans="1:6" ht="22.5" x14ac:dyDescent="0.25">
      <c r="A530" s="8">
        <v>53131626</v>
      </c>
      <c r="B530" s="9" t="s">
        <v>107</v>
      </c>
      <c r="C530" s="33" t="s">
        <v>55</v>
      </c>
      <c r="D530" s="8">
        <v>24</v>
      </c>
      <c r="E530" s="11">
        <v>660</v>
      </c>
      <c r="F530" s="10">
        <v>15840</v>
      </c>
    </row>
    <row r="531" spans="1:6" ht="22.5" x14ac:dyDescent="0.25">
      <c r="A531" s="8">
        <v>47131810</v>
      </c>
      <c r="B531" s="9" t="s">
        <v>108</v>
      </c>
      <c r="C531" s="33" t="s">
        <v>55</v>
      </c>
      <c r="D531" s="8">
        <v>28</v>
      </c>
      <c r="E531" s="11">
        <v>440</v>
      </c>
      <c r="F531" s="10">
        <v>12320</v>
      </c>
    </row>
    <row r="532" spans="1:6" ht="22.5" x14ac:dyDescent="0.25">
      <c r="A532" s="8">
        <v>47131608</v>
      </c>
      <c r="B532" s="9" t="s">
        <v>109</v>
      </c>
      <c r="C532" s="33" t="s">
        <v>55</v>
      </c>
      <c r="D532" s="8">
        <v>11</v>
      </c>
      <c r="E532" s="11">
        <v>165</v>
      </c>
      <c r="F532" s="10">
        <v>1815</v>
      </c>
    </row>
    <row r="533" spans="1:6" x14ac:dyDescent="0.25">
      <c r="A533" s="8">
        <v>52121602</v>
      </c>
      <c r="B533" s="9" t="s">
        <v>110</v>
      </c>
      <c r="C533" s="33" t="s">
        <v>74</v>
      </c>
      <c r="D533" s="8">
        <v>46</v>
      </c>
      <c r="E533" s="11">
        <v>440</v>
      </c>
      <c r="F533" s="10">
        <v>20240</v>
      </c>
    </row>
    <row r="534" spans="1:6" ht="56.25" x14ac:dyDescent="0.25">
      <c r="A534" s="8">
        <v>52151504</v>
      </c>
      <c r="B534" s="9" t="s">
        <v>197</v>
      </c>
      <c r="C534" s="33" t="s">
        <v>74</v>
      </c>
      <c r="D534" s="8">
        <v>15</v>
      </c>
      <c r="E534" s="11">
        <v>2650</v>
      </c>
      <c r="F534" s="10">
        <v>39750</v>
      </c>
    </row>
    <row r="535" spans="1:6" ht="45" x14ac:dyDescent="0.25">
      <c r="A535" s="8">
        <v>52151502</v>
      </c>
      <c r="B535" s="9" t="s">
        <v>198</v>
      </c>
      <c r="C535" s="33" t="s">
        <v>74</v>
      </c>
      <c r="D535" s="8">
        <v>24</v>
      </c>
      <c r="E535" s="11">
        <v>40</v>
      </c>
      <c r="F535" s="10">
        <v>960</v>
      </c>
    </row>
    <row r="536" spans="1:6" ht="22.5" x14ac:dyDescent="0.25">
      <c r="A536" s="8">
        <v>24101510</v>
      </c>
      <c r="B536" s="9" t="s">
        <v>111</v>
      </c>
      <c r="C536" s="33" t="s">
        <v>55</v>
      </c>
      <c r="D536" s="8">
        <v>12</v>
      </c>
      <c r="E536" s="11">
        <v>770</v>
      </c>
      <c r="F536" s="10">
        <v>9240</v>
      </c>
    </row>
    <row r="537" spans="1:6" x14ac:dyDescent="0.25">
      <c r="A537" s="8">
        <v>52121602</v>
      </c>
      <c r="B537" s="9" t="s">
        <v>110</v>
      </c>
      <c r="C537" s="33" t="s">
        <v>74</v>
      </c>
      <c r="D537" s="8">
        <v>24</v>
      </c>
      <c r="E537" s="11">
        <v>275</v>
      </c>
      <c r="F537" s="10">
        <v>6600</v>
      </c>
    </row>
    <row r="538" spans="1:6" x14ac:dyDescent="0.25">
      <c r="A538" s="8">
        <v>14111704</v>
      </c>
      <c r="B538" s="9" t="s">
        <v>112</v>
      </c>
      <c r="C538" s="33" t="s">
        <v>55</v>
      </c>
      <c r="D538" s="8">
        <v>60</v>
      </c>
      <c r="E538" s="11">
        <v>770</v>
      </c>
      <c r="F538" s="10">
        <v>46200</v>
      </c>
    </row>
    <row r="539" spans="1:6" ht="22.5" x14ac:dyDescent="0.25">
      <c r="A539" s="8">
        <v>47131618</v>
      </c>
      <c r="B539" s="9" t="s">
        <v>113</v>
      </c>
      <c r="C539" s="33" t="s">
        <v>55</v>
      </c>
      <c r="D539" s="8">
        <v>30</v>
      </c>
      <c r="E539" s="11">
        <v>220</v>
      </c>
      <c r="F539" s="10">
        <v>6600</v>
      </c>
    </row>
    <row r="540" spans="1:6" ht="33.75" x14ac:dyDescent="0.25">
      <c r="A540" s="8">
        <v>53131624</v>
      </c>
      <c r="B540" s="9" t="s">
        <v>115</v>
      </c>
      <c r="C540" s="33" t="s">
        <v>55</v>
      </c>
      <c r="D540" s="8">
        <v>26</v>
      </c>
      <c r="E540" s="11">
        <v>175</v>
      </c>
      <c r="F540" s="10">
        <v>4550</v>
      </c>
    </row>
    <row r="541" spans="1:6" x14ac:dyDescent="0.25">
      <c r="A541" s="2"/>
      <c r="B541" s="2"/>
      <c r="C541" s="2"/>
      <c r="D541" s="2"/>
      <c r="E541" s="13" t="s">
        <v>87</v>
      </c>
      <c r="F541" s="14">
        <v>315970</v>
      </c>
    </row>
    <row r="542" spans="1:6" ht="15.75" thickBot="1" x14ac:dyDescent="0.3">
      <c r="A542" s="1"/>
      <c r="B542" s="1"/>
      <c r="C542" s="1"/>
      <c r="D542" s="1"/>
      <c r="E542" s="1"/>
      <c r="F542" s="1"/>
    </row>
    <row r="543" spans="1:6" ht="34.5" thickBot="1" x14ac:dyDescent="0.3">
      <c r="A543" s="4" t="s">
        <v>19</v>
      </c>
      <c r="B543" s="4" t="s">
        <v>20</v>
      </c>
      <c r="C543" s="4" t="s">
        <v>21</v>
      </c>
      <c r="D543" s="4" t="s">
        <v>22</v>
      </c>
      <c r="E543" s="4" t="s">
        <v>23</v>
      </c>
      <c r="F543" s="4" t="s">
        <v>24</v>
      </c>
    </row>
    <row r="544" spans="1:6" ht="15.75" thickBot="1" x14ac:dyDescent="0.3">
      <c r="A544" s="32" t="s">
        <v>118</v>
      </c>
      <c r="B544" s="32" t="s">
        <v>119</v>
      </c>
      <c r="C544" s="6" t="s">
        <v>27</v>
      </c>
      <c r="D544" s="6" t="s">
        <v>28</v>
      </c>
      <c r="E544" s="32" t="s">
        <v>29</v>
      </c>
      <c r="F544" s="6"/>
    </row>
    <row r="545" spans="1:6" ht="15.75" thickBot="1" x14ac:dyDescent="0.3">
      <c r="A545" s="35" t="s">
        <v>31</v>
      </c>
      <c r="B545" s="7" t="s">
        <v>32</v>
      </c>
      <c r="C545" s="15">
        <v>45474</v>
      </c>
      <c r="D545" s="35" t="s">
        <v>33</v>
      </c>
      <c r="E545" s="7" t="s">
        <v>34</v>
      </c>
      <c r="F545" s="6"/>
    </row>
    <row r="546" spans="1:6" ht="15.75" thickBot="1" x14ac:dyDescent="0.3">
      <c r="A546" s="36"/>
      <c r="B546" s="7" t="s">
        <v>36</v>
      </c>
      <c r="C546" s="5">
        <v>3</v>
      </c>
      <c r="D546" s="36"/>
      <c r="E546" s="7" t="s">
        <v>37</v>
      </c>
      <c r="F546" s="6"/>
    </row>
    <row r="547" spans="1:6" ht="15.75" thickBot="1" x14ac:dyDescent="0.3">
      <c r="A547" s="36"/>
      <c r="B547" s="7" t="s">
        <v>39</v>
      </c>
      <c r="C547" s="15">
        <v>45565</v>
      </c>
      <c r="D547" s="36"/>
      <c r="E547" s="7" t="s">
        <v>40</v>
      </c>
      <c r="F547" s="6"/>
    </row>
    <row r="548" spans="1:6" ht="15.75" thickBot="1" x14ac:dyDescent="0.3">
      <c r="A548" s="36"/>
      <c r="B548" s="7" t="s">
        <v>36</v>
      </c>
      <c r="C548" s="5">
        <v>3</v>
      </c>
      <c r="D548" s="36"/>
      <c r="E548" s="7" t="s">
        <v>41</v>
      </c>
      <c r="F548" s="6"/>
    </row>
    <row r="549" spans="1:6" ht="15.75" thickBot="1" x14ac:dyDescent="0.3">
      <c r="A549" s="2"/>
      <c r="B549" s="2"/>
      <c r="C549" s="2"/>
      <c r="D549" s="2"/>
      <c r="E549" s="2"/>
      <c r="F549" s="2"/>
    </row>
    <row r="550" spans="1:6" ht="15.75" thickBot="1" x14ac:dyDescent="0.3">
      <c r="A550" s="12" t="s">
        <v>42</v>
      </c>
      <c r="B550" s="12" t="s">
        <v>43</v>
      </c>
      <c r="C550" s="12" t="s">
        <v>44</v>
      </c>
      <c r="D550" s="12" t="s">
        <v>45</v>
      </c>
      <c r="E550" s="12" t="s">
        <v>46</v>
      </c>
      <c r="F550" s="12" t="s">
        <v>47</v>
      </c>
    </row>
    <row r="551" spans="1:6" ht="33.75" x14ac:dyDescent="0.25">
      <c r="A551" s="8">
        <v>44103103</v>
      </c>
      <c r="B551" s="9" t="s">
        <v>120</v>
      </c>
      <c r="C551" s="33" t="s">
        <v>55</v>
      </c>
      <c r="D551" s="8">
        <v>10</v>
      </c>
      <c r="E551" s="11">
        <v>6500</v>
      </c>
      <c r="F551" s="10">
        <v>65000</v>
      </c>
    </row>
    <row r="552" spans="1:6" ht="33.75" x14ac:dyDescent="0.25">
      <c r="A552" s="8">
        <v>44103103</v>
      </c>
      <c r="B552" s="9" t="s">
        <v>120</v>
      </c>
      <c r="C552" s="33" t="s">
        <v>55</v>
      </c>
      <c r="D552" s="8">
        <v>10</v>
      </c>
      <c r="E552" s="11">
        <v>5000</v>
      </c>
      <c r="F552" s="10">
        <v>50000</v>
      </c>
    </row>
    <row r="553" spans="1:6" ht="33.75" x14ac:dyDescent="0.25">
      <c r="A553" s="8">
        <v>44103103</v>
      </c>
      <c r="B553" s="9" t="s">
        <v>120</v>
      </c>
      <c r="C553" s="33" t="s">
        <v>55</v>
      </c>
      <c r="D553" s="8">
        <v>10</v>
      </c>
      <c r="E553" s="11">
        <v>4000</v>
      </c>
      <c r="F553" s="10">
        <v>40000</v>
      </c>
    </row>
    <row r="554" spans="1:6" ht="33.75" x14ac:dyDescent="0.25">
      <c r="A554" s="8">
        <v>44103103</v>
      </c>
      <c r="B554" s="9" t="s">
        <v>120</v>
      </c>
      <c r="C554" s="33" t="s">
        <v>55</v>
      </c>
      <c r="D554" s="8">
        <v>10</v>
      </c>
      <c r="E554" s="11">
        <v>4500</v>
      </c>
      <c r="F554" s="10">
        <v>45000</v>
      </c>
    </row>
    <row r="555" spans="1:6" x14ac:dyDescent="0.25">
      <c r="A555" s="2"/>
      <c r="B555" s="2"/>
      <c r="C555" s="2"/>
      <c r="D555" s="2"/>
      <c r="E555" s="13" t="s">
        <v>87</v>
      </c>
      <c r="F555" s="14">
        <v>200000</v>
      </c>
    </row>
    <row r="556" spans="1:6" ht="15.75" thickBot="1" x14ac:dyDescent="0.3">
      <c r="A556" s="1"/>
      <c r="B556" s="1"/>
      <c r="C556" s="1"/>
      <c r="D556" s="1"/>
      <c r="E556" s="1"/>
      <c r="F556" s="1"/>
    </row>
    <row r="557" spans="1:6" ht="34.5" thickBot="1" x14ac:dyDescent="0.3">
      <c r="A557" s="4" t="s">
        <v>19</v>
      </c>
      <c r="B557" s="4" t="s">
        <v>20</v>
      </c>
      <c r="C557" s="4" t="s">
        <v>21</v>
      </c>
      <c r="D557" s="4" t="s">
        <v>22</v>
      </c>
      <c r="E557" s="4" t="s">
        <v>23</v>
      </c>
      <c r="F557" s="4" t="s">
        <v>24</v>
      </c>
    </row>
    <row r="558" spans="1:6" ht="15.75" thickBot="1" x14ac:dyDescent="0.3">
      <c r="A558" s="32" t="s">
        <v>121</v>
      </c>
      <c r="B558" s="32" t="s">
        <v>122</v>
      </c>
      <c r="C558" s="6" t="s">
        <v>129</v>
      </c>
      <c r="D558" s="6" t="s">
        <v>28</v>
      </c>
      <c r="E558" s="32" t="s">
        <v>29</v>
      </c>
      <c r="F558" s="6"/>
    </row>
    <row r="559" spans="1:6" ht="15.75" thickBot="1" x14ac:dyDescent="0.3">
      <c r="A559" s="35" t="s">
        <v>31</v>
      </c>
      <c r="B559" s="7" t="s">
        <v>32</v>
      </c>
      <c r="C559" s="15">
        <v>45474</v>
      </c>
      <c r="D559" s="35" t="s">
        <v>33</v>
      </c>
      <c r="E559" s="7" t="s">
        <v>34</v>
      </c>
      <c r="F559" s="6"/>
    </row>
    <row r="560" spans="1:6" ht="15.75" thickBot="1" x14ac:dyDescent="0.3">
      <c r="A560" s="36"/>
      <c r="B560" s="7" t="s">
        <v>36</v>
      </c>
      <c r="C560" s="5">
        <v>3</v>
      </c>
      <c r="D560" s="36"/>
      <c r="E560" s="7" t="s">
        <v>37</v>
      </c>
      <c r="F560" s="6"/>
    </row>
    <row r="561" spans="1:6" ht="15.75" thickBot="1" x14ac:dyDescent="0.3">
      <c r="A561" s="36"/>
      <c r="B561" s="7" t="s">
        <v>39</v>
      </c>
      <c r="C561" s="15">
        <v>45565</v>
      </c>
      <c r="D561" s="36"/>
      <c r="E561" s="7" t="s">
        <v>40</v>
      </c>
      <c r="F561" s="6"/>
    </row>
    <row r="562" spans="1:6" ht="15.75" thickBot="1" x14ac:dyDescent="0.3">
      <c r="A562" s="36"/>
      <c r="B562" s="7" t="s">
        <v>36</v>
      </c>
      <c r="C562" s="5">
        <v>3</v>
      </c>
      <c r="D562" s="36"/>
      <c r="E562" s="7" t="s">
        <v>41</v>
      </c>
      <c r="F562" s="6"/>
    </row>
    <row r="563" spans="1:6" ht="15.75" thickBot="1" x14ac:dyDescent="0.3">
      <c r="A563" s="2"/>
      <c r="B563" s="2"/>
      <c r="C563" s="2"/>
      <c r="D563" s="2"/>
      <c r="E563" s="2"/>
      <c r="F563" s="2"/>
    </row>
    <row r="564" spans="1:6" ht="15.75" thickBot="1" x14ac:dyDescent="0.3">
      <c r="A564" s="12" t="s">
        <v>42</v>
      </c>
      <c r="B564" s="12" t="s">
        <v>43</v>
      </c>
      <c r="C564" s="12" t="s">
        <v>44</v>
      </c>
      <c r="D564" s="12" t="s">
        <v>45</v>
      </c>
      <c r="E564" s="12" t="s">
        <v>46</v>
      </c>
      <c r="F564" s="12" t="s">
        <v>47</v>
      </c>
    </row>
    <row r="565" spans="1:6" ht="45" x14ac:dyDescent="0.25">
      <c r="A565" s="8">
        <v>82121511</v>
      </c>
      <c r="B565" s="9" t="s">
        <v>123</v>
      </c>
      <c r="C565" s="8" t="s">
        <v>55</v>
      </c>
      <c r="D565" s="8">
        <v>340</v>
      </c>
      <c r="E565" s="11">
        <v>500</v>
      </c>
      <c r="F565" s="10">
        <v>170000</v>
      </c>
    </row>
    <row r="566" spans="1:6" ht="22.5" x14ac:dyDescent="0.25">
      <c r="A566" s="8">
        <v>49101707</v>
      </c>
      <c r="B566" s="9" t="s">
        <v>124</v>
      </c>
      <c r="C566" s="33" t="s">
        <v>55</v>
      </c>
      <c r="D566" s="8">
        <v>290</v>
      </c>
      <c r="E566" s="11">
        <v>100</v>
      </c>
      <c r="F566" s="10">
        <v>29000</v>
      </c>
    </row>
    <row r="567" spans="1:6" ht="22.5" x14ac:dyDescent="0.25">
      <c r="A567" s="8">
        <v>14111604</v>
      </c>
      <c r="B567" s="9" t="s">
        <v>125</v>
      </c>
      <c r="C567" s="33" t="s">
        <v>55</v>
      </c>
      <c r="D567" s="8">
        <v>300</v>
      </c>
      <c r="E567" s="11">
        <v>70</v>
      </c>
      <c r="F567" s="10">
        <v>21000</v>
      </c>
    </row>
    <row r="568" spans="1:6" x14ac:dyDescent="0.25">
      <c r="A568" s="2"/>
      <c r="B568" s="2"/>
      <c r="C568" s="2"/>
      <c r="D568" s="2"/>
      <c r="E568" s="13" t="s">
        <v>87</v>
      </c>
      <c r="F568" s="14">
        <v>220000</v>
      </c>
    </row>
    <row r="569" spans="1:6" ht="15.75" thickBot="1" x14ac:dyDescent="0.3">
      <c r="A569" s="1"/>
      <c r="B569" s="1"/>
      <c r="C569" s="1"/>
      <c r="D569" s="1"/>
      <c r="E569" s="1"/>
      <c r="F569" s="1"/>
    </row>
    <row r="570" spans="1:6" ht="34.5" thickBot="1" x14ac:dyDescent="0.3">
      <c r="A570" s="4" t="s">
        <v>19</v>
      </c>
      <c r="B570" s="4" t="s">
        <v>20</v>
      </c>
      <c r="C570" s="4" t="s">
        <v>21</v>
      </c>
      <c r="D570" s="4" t="s">
        <v>22</v>
      </c>
      <c r="E570" s="4" t="s">
        <v>23</v>
      </c>
      <c r="F570" s="4" t="s">
        <v>24</v>
      </c>
    </row>
    <row r="571" spans="1:6" ht="15.75" thickBot="1" x14ac:dyDescent="0.3">
      <c r="A571" s="32" t="s">
        <v>145</v>
      </c>
      <c r="B571" s="32" t="s">
        <v>146</v>
      </c>
      <c r="C571" s="6" t="s">
        <v>129</v>
      </c>
      <c r="D571" s="6" t="s">
        <v>28</v>
      </c>
      <c r="E571" s="32" t="s">
        <v>29</v>
      </c>
      <c r="F571" s="6"/>
    </row>
    <row r="572" spans="1:6" ht="15.75" thickBot="1" x14ac:dyDescent="0.3">
      <c r="A572" s="35" t="s">
        <v>31</v>
      </c>
      <c r="B572" s="7" t="s">
        <v>32</v>
      </c>
      <c r="C572" s="15">
        <v>45474</v>
      </c>
      <c r="D572" s="35" t="s">
        <v>33</v>
      </c>
      <c r="E572" s="7" t="s">
        <v>34</v>
      </c>
      <c r="F572" s="6"/>
    </row>
    <row r="573" spans="1:6" ht="15.75" thickBot="1" x14ac:dyDescent="0.3">
      <c r="A573" s="36"/>
      <c r="B573" s="7" t="s">
        <v>36</v>
      </c>
      <c r="C573" s="5">
        <v>3</v>
      </c>
      <c r="D573" s="36"/>
      <c r="E573" s="7" t="s">
        <v>37</v>
      </c>
      <c r="F573" s="6"/>
    </row>
    <row r="574" spans="1:6" ht="15.75" thickBot="1" x14ac:dyDescent="0.3">
      <c r="A574" s="36"/>
      <c r="B574" s="7" t="s">
        <v>39</v>
      </c>
      <c r="C574" s="15">
        <v>45565</v>
      </c>
      <c r="D574" s="36"/>
      <c r="E574" s="7" t="s">
        <v>40</v>
      </c>
      <c r="F574" s="6"/>
    </row>
    <row r="575" spans="1:6" ht="15.75" thickBot="1" x14ac:dyDescent="0.3">
      <c r="A575" s="36"/>
      <c r="B575" s="7" t="s">
        <v>36</v>
      </c>
      <c r="C575" s="5">
        <v>3</v>
      </c>
      <c r="D575" s="36"/>
      <c r="E575" s="7" t="s">
        <v>41</v>
      </c>
      <c r="F575" s="6"/>
    </row>
    <row r="576" spans="1:6" ht="15.75" thickBot="1" x14ac:dyDescent="0.3">
      <c r="A576" s="2"/>
      <c r="B576" s="2"/>
      <c r="C576" s="2"/>
      <c r="D576" s="2"/>
      <c r="E576" s="2"/>
      <c r="F576" s="2"/>
    </row>
    <row r="577" spans="1:6" ht="15.75" thickBot="1" x14ac:dyDescent="0.3">
      <c r="A577" s="12" t="s">
        <v>42</v>
      </c>
      <c r="B577" s="12" t="s">
        <v>43</v>
      </c>
      <c r="C577" s="12" t="s">
        <v>44</v>
      </c>
      <c r="D577" s="12" t="s">
        <v>45</v>
      </c>
      <c r="E577" s="12" t="s">
        <v>46</v>
      </c>
      <c r="F577" s="12" t="s">
        <v>47</v>
      </c>
    </row>
    <row r="578" spans="1:6" ht="22.5" x14ac:dyDescent="0.25">
      <c r="A578" s="8">
        <v>86111604</v>
      </c>
      <c r="B578" s="9" t="s">
        <v>147</v>
      </c>
      <c r="C578" s="8" t="s">
        <v>55</v>
      </c>
      <c r="D578" s="8">
        <v>2</v>
      </c>
      <c r="E578" s="11">
        <v>80000</v>
      </c>
      <c r="F578" s="10">
        <v>160000</v>
      </c>
    </row>
    <row r="579" spans="1:6" ht="67.5" x14ac:dyDescent="0.25">
      <c r="A579" s="8">
        <v>86101808</v>
      </c>
      <c r="B579" s="9" t="s">
        <v>148</v>
      </c>
      <c r="C579" s="33" t="s">
        <v>55</v>
      </c>
      <c r="D579" s="8">
        <v>1</v>
      </c>
      <c r="E579" s="11">
        <v>104150</v>
      </c>
      <c r="F579" s="10">
        <v>104150</v>
      </c>
    </row>
    <row r="580" spans="1:6" x14ac:dyDescent="0.25">
      <c r="A580" s="2"/>
      <c r="B580" s="2"/>
      <c r="C580" s="2"/>
      <c r="D580" s="2"/>
      <c r="E580" s="13" t="s">
        <v>87</v>
      </c>
      <c r="F580" s="14">
        <v>264150</v>
      </c>
    </row>
    <row r="581" spans="1:6" ht="15.75" thickBot="1" x14ac:dyDescent="0.3">
      <c r="A581" s="1"/>
      <c r="B581" s="1"/>
      <c r="C581" s="1"/>
      <c r="D581" s="1"/>
      <c r="E581" s="1"/>
      <c r="F581" s="1"/>
    </row>
    <row r="582" spans="1:6" ht="34.5" thickBot="1" x14ac:dyDescent="0.3">
      <c r="A582" s="4" t="s">
        <v>19</v>
      </c>
      <c r="B582" s="4" t="s">
        <v>20</v>
      </c>
      <c r="C582" s="4" t="s">
        <v>21</v>
      </c>
      <c r="D582" s="4" t="s">
        <v>22</v>
      </c>
      <c r="E582" s="4" t="s">
        <v>23</v>
      </c>
      <c r="F582" s="4" t="s">
        <v>24</v>
      </c>
    </row>
    <row r="583" spans="1:6" ht="15.75" thickBot="1" x14ac:dyDescent="0.3">
      <c r="A583" s="32" t="s">
        <v>149</v>
      </c>
      <c r="B583" s="32" t="s">
        <v>150</v>
      </c>
      <c r="C583" s="6" t="s">
        <v>27</v>
      </c>
      <c r="D583" s="6" t="s">
        <v>28</v>
      </c>
      <c r="E583" s="32" t="s">
        <v>29</v>
      </c>
      <c r="F583" s="6"/>
    </row>
    <row r="584" spans="1:6" ht="15.75" thickBot="1" x14ac:dyDescent="0.3">
      <c r="A584" s="35" t="s">
        <v>31</v>
      </c>
      <c r="B584" s="7" t="s">
        <v>32</v>
      </c>
      <c r="C584" s="15">
        <v>45474</v>
      </c>
      <c r="D584" s="35" t="s">
        <v>33</v>
      </c>
      <c r="E584" s="7" t="s">
        <v>34</v>
      </c>
      <c r="F584" s="6"/>
    </row>
    <row r="585" spans="1:6" ht="15.75" thickBot="1" x14ac:dyDescent="0.3">
      <c r="A585" s="36"/>
      <c r="B585" s="7" t="s">
        <v>36</v>
      </c>
      <c r="C585" s="5">
        <v>3</v>
      </c>
      <c r="D585" s="36"/>
      <c r="E585" s="7" t="s">
        <v>37</v>
      </c>
      <c r="F585" s="6"/>
    </row>
    <row r="586" spans="1:6" ht="15.75" thickBot="1" x14ac:dyDescent="0.3">
      <c r="A586" s="36"/>
      <c r="B586" s="7" t="s">
        <v>39</v>
      </c>
      <c r="C586" s="15">
        <v>45565</v>
      </c>
      <c r="D586" s="36"/>
      <c r="E586" s="7" t="s">
        <v>40</v>
      </c>
      <c r="F586" s="6"/>
    </row>
    <row r="587" spans="1:6" ht="15.75" thickBot="1" x14ac:dyDescent="0.3">
      <c r="A587" s="36"/>
      <c r="B587" s="7" t="s">
        <v>36</v>
      </c>
      <c r="C587" s="5">
        <v>3</v>
      </c>
      <c r="D587" s="36"/>
      <c r="E587" s="7" t="s">
        <v>41</v>
      </c>
      <c r="F587" s="6"/>
    </row>
    <row r="588" spans="1:6" ht="15.75" thickBot="1" x14ac:dyDescent="0.3">
      <c r="A588" s="2"/>
      <c r="B588" s="2"/>
      <c r="C588" s="2"/>
      <c r="D588" s="2"/>
      <c r="E588" s="2"/>
      <c r="F588" s="2"/>
    </row>
    <row r="589" spans="1:6" ht="15.75" thickBot="1" x14ac:dyDescent="0.3">
      <c r="A589" s="12" t="s">
        <v>42</v>
      </c>
      <c r="B589" s="12" t="s">
        <v>43</v>
      </c>
      <c r="C589" s="12" t="s">
        <v>44</v>
      </c>
      <c r="D589" s="12" t="s">
        <v>45</v>
      </c>
      <c r="E589" s="12" t="s">
        <v>46</v>
      </c>
      <c r="F589" s="12" t="s">
        <v>47</v>
      </c>
    </row>
    <row r="590" spans="1:6" ht="22.5" x14ac:dyDescent="0.25">
      <c r="A590" s="8">
        <v>53101602</v>
      </c>
      <c r="B590" s="9" t="s">
        <v>151</v>
      </c>
      <c r="C590" s="8" t="s">
        <v>55</v>
      </c>
      <c r="D590" s="8">
        <v>100</v>
      </c>
      <c r="E590" s="11">
        <v>1500</v>
      </c>
      <c r="F590" s="10">
        <v>150000</v>
      </c>
    </row>
    <row r="591" spans="1:6" ht="22.5" x14ac:dyDescent="0.25">
      <c r="A591" s="8">
        <v>53103001</v>
      </c>
      <c r="B591" s="9" t="s">
        <v>152</v>
      </c>
      <c r="C591" s="33" t="s">
        <v>55</v>
      </c>
      <c r="D591" s="8">
        <v>146</v>
      </c>
      <c r="E591" s="11">
        <v>750</v>
      </c>
      <c r="F591" s="10">
        <v>109500</v>
      </c>
    </row>
    <row r="592" spans="1:6" ht="22.5" x14ac:dyDescent="0.25">
      <c r="A592" s="34">
        <v>53102710</v>
      </c>
      <c r="B592" s="9" t="s">
        <v>209</v>
      </c>
      <c r="C592" s="33" t="s">
        <v>55</v>
      </c>
      <c r="D592" s="8">
        <v>100</v>
      </c>
      <c r="E592" s="11">
        <v>3000</v>
      </c>
      <c r="F592" s="10">
        <v>300000</v>
      </c>
    </row>
    <row r="593" spans="1:6" x14ac:dyDescent="0.25">
      <c r="A593" s="8">
        <v>53102516</v>
      </c>
      <c r="B593" s="9" t="s">
        <v>153</v>
      </c>
      <c r="C593" s="33" t="s">
        <v>55</v>
      </c>
      <c r="D593" s="8">
        <v>351</v>
      </c>
      <c r="E593" s="11">
        <v>350</v>
      </c>
      <c r="F593" s="10">
        <v>122850</v>
      </c>
    </row>
    <row r="594" spans="1:6" x14ac:dyDescent="0.25">
      <c r="A594" s="2"/>
      <c r="B594" s="2"/>
      <c r="C594" s="2"/>
      <c r="D594" s="2"/>
      <c r="E594" s="13" t="s">
        <v>87</v>
      </c>
      <c r="F594" s="14">
        <v>682350</v>
      </c>
    </row>
    <row r="595" spans="1:6" ht="15.75" thickBot="1" x14ac:dyDescent="0.3">
      <c r="A595" s="1"/>
      <c r="B595" s="1"/>
      <c r="C595" s="1"/>
      <c r="D595" s="1"/>
      <c r="E595" s="1"/>
      <c r="F595" s="1"/>
    </row>
    <row r="596" spans="1:6" ht="34.5" thickBot="1" x14ac:dyDescent="0.3">
      <c r="A596" s="4" t="s">
        <v>19</v>
      </c>
      <c r="B596" s="4" t="s">
        <v>20</v>
      </c>
      <c r="C596" s="4" t="s">
        <v>21</v>
      </c>
      <c r="D596" s="4" t="s">
        <v>22</v>
      </c>
      <c r="E596" s="4" t="s">
        <v>23</v>
      </c>
      <c r="F596" s="4" t="s">
        <v>24</v>
      </c>
    </row>
    <row r="597" spans="1:6" ht="15.75" thickBot="1" x14ac:dyDescent="0.3">
      <c r="A597" s="32" t="s">
        <v>154</v>
      </c>
      <c r="B597" s="32" t="s">
        <v>155</v>
      </c>
      <c r="C597" s="6" t="s">
        <v>129</v>
      </c>
      <c r="D597" s="6" t="s">
        <v>28</v>
      </c>
      <c r="E597" s="32" t="s">
        <v>29</v>
      </c>
      <c r="F597" s="6"/>
    </row>
    <row r="598" spans="1:6" ht="15.75" thickBot="1" x14ac:dyDescent="0.3">
      <c r="A598" s="35" t="s">
        <v>31</v>
      </c>
      <c r="B598" s="7" t="s">
        <v>32</v>
      </c>
      <c r="C598" s="15">
        <v>45474</v>
      </c>
      <c r="D598" s="35" t="s">
        <v>33</v>
      </c>
      <c r="E598" s="7" t="s">
        <v>34</v>
      </c>
      <c r="F598" s="6"/>
    </row>
    <row r="599" spans="1:6" ht="15.75" thickBot="1" x14ac:dyDescent="0.3">
      <c r="A599" s="36"/>
      <c r="B599" s="7" t="s">
        <v>36</v>
      </c>
      <c r="C599" s="5">
        <v>3</v>
      </c>
      <c r="D599" s="36"/>
      <c r="E599" s="7" t="s">
        <v>37</v>
      </c>
      <c r="F599" s="6"/>
    </row>
    <row r="600" spans="1:6" ht="15.75" thickBot="1" x14ac:dyDescent="0.3">
      <c r="A600" s="36"/>
      <c r="B600" s="7" t="s">
        <v>39</v>
      </c>
      <c r="C600" s="15">
        <v>45565</v>
      </c>
      <c r="D600" s="36"/>
      <c r="E600" s="7" t="s">
        <v>40</v>
      </c>
      <c r="F600" s="6"/>
    </row>
    <row r="601" spans="1:6" ht="15.75" thickBot="1" x14ac:dyDescent="0.3">
      <c r="A601" s="36"/>
      <c r="B601" s="7" t="s">
        <v>36</v>
      </c>
      <c r="C601" s="5">
        <v>3</v>
      </c>
      <c r="D601" s="36"/>
      <c r="E601" s="7" t="s">
        <v>41</v>
      </c>
      <c r="F601" s="6"/>
    </row>
    <row r="602" spans="1:6" ht="15.75" thickBot="1" x14ac:dyDescent="0.3">
      <c r="A602" s="2"/>
      <c r="B602" s="2"/>
      <c r="C602" s="2"/>
      <c r="D602" s="2"/>
      <c r="E602" s="2"/>
      <c r="F602" s="2"/>
    </row>
    <row r="603" spans="1:6" ht="15.75" thickBot="1" x14ac:dyDescent="0.3">
      <c r="A603" s="12" t="s">
        <v>42</v>
      </c>
      <c r="B603" s="12" t="s">
        <v>43</v>
      </c>
      <c r="C603" s="12" t="s">
        <v>44</v>
      </c>
      <c r="D603" s="12" t="s">
        <v>45</v>
      </c>
      <c r="E603" s="12" t="s">
        <v>46</v>
      </c>
      <c r="F603" s="12" t="s">
        <v>47</v>
      </c>
    </row>
    <row r="604" spans="1:6" ht="22.5" x14ac:dyDescent="0.25">
      <c r="A604" s="8">
        <v>80141607</v>
      </c>
      <c r="B604" s="9" t="s">
        <v>156</v>
      </c>
      <c r="C604" s="8" t="s">
        <v>55</v>
      </c>
      <c r="D604" s="8">
        <v>5</v>
      </c>
      <c r="E604" s="11">
        <v>50000</v>
      </c>
      <c r="F604" s="10">
        <v>250000</v>
      </c>
    </row>
    <row r="605" spans="1:6" x14ac:dyDescent="0.25">
      <c r="A605" s="2"/>
      <c r="B605" s="2"/>
      <c r="C605" s="2"/>
      <c r="D605" s="2"/>
      <c r="E605" s="13" t="s">
        <v>87</v>
      </c>
      <c r="F605" s="14">
        <v>250000</v>
      </c>
    </row>
    <row r="606" spans="1:6" ht="15.75" thickBot="1" x14ac:dyDescent="0.3">
      <c r="A606" s="1"/>
      <c r="B606" s="1"/>
      <c r="C606" s="1"/>
      <c r="D606" s="1"/>
      <c r="E606" s="1"/>
      <c r="F606" s="1"/>
    </row>
    <row r="607" spans="1:6" ht="34.5" thickBot="1" x14ac:dyDescent="0.3">
      <c r="A607" s="4" t="s">
        <v>19</v>
      </c>
      <c r="B607" s="4" t="s">
        <v>20</v>
      </c>
      <c r="C607" s="4" t="s">
        <v>21</v>
      </c>
      <c r="D607" s="4" t="s">
        <v>22</v>
      </c>
      <c r="E607" s="4" t="s">
        <v>23</v>
      </c>
      <c r="F607" s="4" t="s">
        <v>24</v>
      </c>
    </row>
    <row r="608" spans="1:6" ht="15.75" thickBot="1" x14ac:dyDescent="0.3">
      <c r="A608" s="32" t="s">
        <v>157</v>
      </c>
      <c r="B608" s="32" t="s">
        <v>158</v>
      </c>
      <c r="C608" s="6" t="s">
        <v>27</v>
      </c>
      <c r="D608" s="6" t="s">
        <v>28</v>
      </c>
      <c r="E608" s="32" t="s">
        <v>29</v>
      </c>
      <c r="F608" s="6"/>
    </row>
    <row r="609" spans="1:6" ht="15.75" thickBot="1" x14ac:dyDescent="0.3">
      <c r="A609" s="35" t="s">
        <v>31</v>
      </c>
      <c r="B609" s="7" t="s">
        <v>32</v>
      </c>
      <c r="C609" s="15">
        <v>45474</v>
      </c>
      <c r="D609" s="35" t="s">
        <v>33</v>
      </c>
      <c r="E609" s="7" t="s">
        <v>34</v>
      </c>
      <c r="F609" s="6"/>
    </row>
    <row r="610" spans="1:6" ht="15.75" thickBot="1" x14ac:dyDescent="0.3">
      <c r="A610" s="36"/>
      <c r="B610" s="7" t="s">
        <v>36</v>
      </c>
      <c r="C610" s="5">
        <v>3</v>
      </c>
      <c r="D610" s="36"/>
      <c r="E610" s="7" t="s">
        <v>37</v>
      </c>
      <c r="F610" s="6"/>
    </row>
    <row r="611" spans="1:6" ht="15.75" thickBot="1" x14ac:dyDescent="0.3">
      <c r="A611" s="36"/>
      <c r="B611" s="7" t="s">
        <v>39</v>
      </c>
      <c r="C611" s="15">
        <v>45565</v>
      </c>
      <c r="D611" s="36"/>
      <c r="E611" s="7" t="s">
        <v>40</v>
      </c>
      <c r="F611" s="6"/>
    </row>
    <row r="612" spans="1:6" ht="15.75" thickBot="1" x14ac:dyDescent="0.3">
      <c r="A612" s="36"/>
      <c r="B612" s="7" t="s">
        <v>36</v>
      </c>
      <c r="C612" s="5">
        <v>3</v>
      </c>
      <c r="D612" s="36"/>
      <c r="E612" s="7" t="s">
        <v>41</v>
      </c>
      <c r="F612" s="6"/>
    </row>
    <row r="613" spans="1:6" ht="15.75" thickBot="1" x14ac:dyDescent="0.3">
      <c r="A613" s="2"/>
      <c r="B613" s="2"/>
      <c r="C613" s="2"/>
      <c r="D613" s="2"/>
      <c r="E613" s="2"/>
      <c r="F613" s="2"/>
    </row>
    <row r="614" spans="1:6" ht="15.75" thickBot="1" x14ac:dyDescent="0.3">
      <c r="A614" s="12" t="s">
        <v>42</v>
      </c>
      <c r="B614" s="12" t="s">
        <v>43</v>
      </c>
      <c r="C614" s="12" t="s">
        <v>44</v>
      </c>
      <c r="D614" s="12" t="s">
        <v>45</v>
      </c>
      <c r="E614" s="12" t="s">
        <v>46</v>
      </c>
      <c r="F614" s="12" t="s">
        <v>47</v>
      </c>
    </row>
    <row r="615" spans="1:6" ht="22.5" x14ac:dyDescent="0.25">
      <c r="A615" s="8">
        <v>43211503</v>
      </c>
      <c r="B615" s="9" t="s">
        <v>162</v>
      </c>
      <c r="C615" s="8" t="s">
        <v>55</v>
      </c>
      <c r="D615" s="8">
        <v>3</v>
      </c>
      <c r="E615" s="11">
        <v>50000</v>
      </c>
      <c r="F615" s="10">
        <v>150000</v>
      </c>
    </row>
    <row r="616" spans="1:6" x14ac:dyDescent="0.25">
      <c r="A616" s="2"/>
      <c r="B616" s="2"/>
      <c r="C616" s="2"/>
      <c r="D616" s="2"/>
      <c r="E616" s="13" t="s">
        <v>87</v>
      </c>
      <c r="F616" s="14">
        <v>150000</v>
      </c>
    </row>
    <row r="617" spans="1:6" ht="15.75" thickBot="1" x14ac:dyDescent="0.3">
      <c r="A617" s="1"/>
      <c r="B617" s="1"/>
      <c r="C617" s="1"/>
      <c r="D617" s="1"/>
      <c r="E617" s="1"/>
      <c r="F617" s="1"/>
    </row>
    <row r="618" spans="1:6" ht="34.5" thickBot="1" x14ac:dyDescent="0.3">
      <c r="A618" s="4" t="s">
        <v>19</v>
      </c>
      <c r="B618" s="4" t="s">
        <v>20</v>
      </c>
      <c r="C618" s="4" t="s">
        <v>21</v>
      </c>
      <c r="D618" s="4" t="s">
        <v>22</v>
      </c>
      <c r="E618" s="4" t="s">
        <v>23</v>
      </c>
      <c r="F618" s="4" t="s">
        <v>24</v>
      </c>
    </row>
    <row r="619" spans="1:6" ht="15.75" thickBot="1" x14ac:dyDescent="0.3">
      <c r="A619" s="32" t="s">
        <v>163</v>
      </c>
      <c r="B619" s="32" t="s">
        <v>164</v>
      </c>
      <c r="C619" s="6" t="s">
        <v>27</v>
      </c>
      <c r="D619" s="6" t="s">
        <v>28</v>
      </c>
      <c r="E619" s="32" t="s">
        <v>29</v>
      </c>
      <c r="F619" s="6"/>
    </row>
    <row r="620" spans="1:6" ht="15.75" thickBot="1" x14ac:dyDescent="0.3">
      <c r="A620" s="35" t="s">
        <v>31</v>
      </c>
      <c r="B620" s="7" t="s">
        <v>32</v>
      </c>
      <c r="C620" s="15">
        <v>45474</v>
      </c>
      <c r="D620" s="35" t="s">
        <v>33</v>
      </c>
      <c r="E620" s="7" t="s">
        <v>34</v>
      </c>
      <c r="F620" s="6"/>
    </row>
    <row r="621" spans="1:6" ht="15.75" thickBot="1" x14ac:dyDescent="0.3">
      <c r="A621" s="36"/>
      <c r="B621" s="7" t="s">
        <v>36</v>
      </c>
      <c r="C621" s="5">
        <v>3</v>
      </c>
      <c r="D621" s="36"/>
      <c r="E621" s="7" t="s">
        <v>37</v>
      </c>
      <c r="F621" s="6"/>
    </row>
    <row r="622" spans="1:6" ht="15.75" thickBot="1" x14ac:dyDescent="0.3">
      <c r="A622" s="36"/>
      <c r="B622" s="7" t="s">
        <v>39</v>
      </c>
      <c r="C622" s="15">
        <v>45565</v>
      </c>
      <c r="D622" s="36"/>
      <c r="E622" s="7" t="s">
        <v>40</v>
      </c>
      <c r="F622" s="6"/>
    </row>
    <row r="623" spans="1:6" ht="15.75" thickBot="1" x14ac:dyDescent="0.3">
      <c r="A623" s="36"/>
      <c r="B623" s="7" t="s">
        <v>36</v>
      </c>
      <c r="C623" s="5">
        <v>3</v>
      </c>
      <c r="D623" s="36"/>
      <c r="E623" s="7" t="s">
        <v>41</v>
      </c>
      <c r="F623" s="6"/>
    </row>
    <row r="624" spans="1:6" ht="15.75" thickBot="1" x14ac:dyDescent="0.3">
      <c r="A624" s="2"/>
      <c r="B624" s="2"/>
      <c r="C624" s="2"/>
      <c r="D624" s="2"/>
      <c r="E624" s="2"/>
      <c r="F624" s="2"/>
    </row>
    <row r="625" spans="1:6" ht="15.75" thickBot="1" x14ac:dyDescent="0.3">
      <c r="A625" s="12" t="s">
        <v>42</v>
      </c>
      <c r="B625" s="12" t="s">
        <v>43</v>
      </c>
      <c r="C625" s="12" t="s">
        <v>44</v>
      </c>
      <c r="D625" s="12" t="s">
        <v>45</v>
      </c>
      <c r="E625" s="12" t="s">
        <v>46</v>
      </c>
      <c r="F625" s="12" t="s">
        <v>47</v>
      </c>
    </row>
    <row r="626" spans="1:6" x14ac:dyDescent="0.25">
      <c r="A626" s="8">
        <v>40101604</v>
      </c>
      <c r="B626" s="9" t="s">
        <v>210</v>
      </c>
      <c r="C626" s="8" t="s">
        <v>55</v>
      </c>
      <c r="D626" s="8">
        <v>3</v>
      </c>
      <c r="E626" s="11">
        <v>40000</v>
      </c>
      <c r="F626" s="10">
        <v>120000</v>
      </c>
    </row>
    <row r="627" spans="1:6" ht="22.5" x14ac:dyDescent="0.25">
      <c r="A627" s="8">
        <v>40101808</v>
      </c>
      <c r="B627" s="9" t="s">
        <v>211</v>
      </c>
      <c r="C627" s="33" t="s">
        <v>55</v>
      </c>
      <c r="D627" s="8">
        <v>2</v>
      </c>
      <c r="E627" s="11">
        <v>25000</v>
      </c>
      <c r="F627" s="10">
        <v>50000</v>
      </c>
    </row>
    <row r="628" spans="1:6" ht="22.5" x14ac:dyDescent="0.25">
      <c r="A628" s="8">
        <v>40101602</v>
      </c>
      <c r="B628" s="9" t="s">
        <v>212</v>
      </c>
      <c r="C628" s="33" t="s">
        <v>55</v>
      </c>
      <c r="D628" s="8">
        <v>2</v>
      </c>
      <c r="E628" s="11">
        <v>20000</v>
      </c>
      <c r="F628" s="10">
        <v>40000</v>
      </c>
    </row>
    <row r="629" spans="1:6" x14ac:dyDescent="0.25">
      <c r="A629" s="2"/>
      <c r="B629" s="2"/>
      <c r="C629" s="2"/>
      <c r="D629" s="2"/>
      <c r="E629" s="13" t="s">
        <v>87</v>
      </c>
      <c r="F629" s="14">
        <v>210000</v>
      </c>
    </row>
    <row r="630" spans="1:6" ht="15.75" thickBot="1" x14ac:dyDescent="0.3">
      <c r="A630" s="1"/>
      <c r="B630" s="1"/>
      <c r="C630" s="1"/>
      <c r="D630" s="1"/>
      <c r="E630" s="1"/>
      <c r="F630" s="1"/>
    </row>
    <row r="631" spans="1:6" ht="34.5" thickBot="1" x14ac:dyDescent="0.3">
      <c r="A631" s="4" t="s">
        <v>19</v>
      </c>
      <c r="B631" s="4" t="s">
        <v>20</v>
      </c>
      <c r="C631" s="4" t="s">
        <v>21</v>
      </c>
      <c r="D631" s="4" t="s">
        <v>22</v>
      </c>
      <c r="E631" s="4" t="s">
        <v>23</v>
      </c>
      <c r="F631" s="4" t="s">
        <v>24</v>
      </c>
    </row>
    <row r="632" spans="1:6" ht="15.75" thickBot="1" x14ac:dyDescent="0.3">
      <c r="A632" s="32" t="s">
        <v>179</v>
      </c>
      <c r="B632" s="32" t="s">
        <v>180</v>
      </c>
      <c r="C632" s="6" t="s">
        <v>129</v>
      </c>
      <c r="D632" s="6" t="s">
        <v>28</v>
      </c>
      <c r="E632" s="32" t="s">
        <v>29</v>
      </c>
      <c r="F632" s="6"/>
    </row>
    <row r="633" spans="1:6" ht="15.75" thickBot="1" x14ac:dyDescent="0.3">
      <c r="A633" s="35" t="s">
        <v>31</v>
      </c>
      <c r="B633" s="7" t="s">
        <v>32</v>
      </c>
      <c r="C633" s="15">
        <v>45474</v>
      </c>
      <c r="D633" s="35" t="s">
        <v>33</v>
      </c>
      <c r="E633" s="7" t="s">
        <v>34</v>
      </c>
      <c r="F633" s="6"/>
    </row>
    <row r="634" spans="1:6" ht="15.75" thickBot="1" x14ac:dyDescent="0.3">
      <c r="A634" s="36"/>
      <c r="B634" s="7" t="s">
        <v>36</v>
      </c>
      <c r="C634" s="5">
        <v>3</v>
      </c>
      <c r="D634" s="36"/>
      <c r="E634" s="7" t="s">
        <v>37</v>
      </c>
      <c r="F634" s="6"/>
    </row>
    <row r="635" spans="1:6" ht="15.75" thickBot="1" x14ac:dyDescent="0.3">
      <c r="A635" s="36"/>
      <c r="B635" s="7" t="s">
        <v>39</v>
      </c>
      <c r="C635" s="15">
        <v>45565</v>
      </c>
      <c r="D635" s="36"/>
      <c r="E635" s="7" t="s">
        <v>40</v>
      </c>
      <c r="F635" s="6"/>
    </row>
    <row r="636" spans="1:6" ht="15.75" thickBot="1" x14ac:dyDescent="0.3">
      <c r="A636" s="36"/>
      <c r="B636" s="7" t="s">
        <v>36</v>
      </c>
      <c r="C636" s="5">
        <v>3</v>
      </c>
      <c r="D636" s="36"/>
      <c r="E636" s="7" t="s">
        <v>41</v>
      </c>
      <c r="F636" s="6"/>
    </row>
    <row r="637" spans="1:6" ht="15.75" thickBot="1" x14ac:dyDescent="0.3">
      <c r="A637" s="2"/>
      <c r="B637" s="2"/>
      <c r="C637" s="2"/>
      <c r="D637" s="2"/>
      <c r="E637" s="2"/>
      <c r="F637" s="2"/>
    </row>
    <row r="638" spans="1:6" ht="15.75" thickBot="1" x14ac:dyDescent="0.3">
      <c r="A638" s="12" t="s">
        <v>42</v>
      </c>
      <c r="B638" s="12" t="s">
        <v>43</v>
      </c>
      <c r="C638" s="12" t="s">
        <v>44</v>
      </c>
      <c r="D638" s="12" t="s">
        <v>45</v>
      </c>
      <c r="E638" s="12" t="s">
        <v>46</v>
      </c>
      <c r="F638" s="12" t="s">
        <v>47</v>
      </c>
    </row>
    <row r="639" spans="1:6" ht="33.75" x14ac:dyDescent="0.25">
      <c r="A639" s="8">
        <v>72102103</v>
      </c>
      <c r="B639" s="9" t="s">
        <v>181</v>
      </c>
      <c r="C639" s="8" t="s">
        <v>132</v>
      </c>
      <c r="D639" s="8">
        <v>6</v>
      </c>
      <c r="E639" s="11">
        <v>32625</v>
      </c>
      <c r="F639" s="10">
        <v>195750</v>
      </c>
    </row>
    <row r="640" spans="1:6" ht="33.75" x14ac:dyDescent="0.25">
      <c r="A640" s="8">
        <v>81101701</v>
      </c>
      <c r="B640" s="9" t="s">
        <v>213</v>
      </c>
      <c r="C640" s="33" t="s">
        <v>55</v>
      </c>
      <c r="D640" s="8">
        <v>2</v>
      </c>
      <c r="E640" s="11">
        <v>50000</v>
      </c>
      <c r="F640" s="10">
        <v>100000</v>
      </c>
    </row>
    <row r="641" spans="1:6" ht="22.5" x14ac:dyDescent="0.25">
      <c r="A641" s="8">
        <v>70111506</v>
      </c>
      <c r="B641" s="9" t="s">
        <v>182</v>
      </c>
      <c r="C641" s="33" t="s">
        <v>55</v>
      </c>
      <c r="D641" s="8">
        <v>4</v>
      </c>
      <c r="E641" s="11">
        <v>5000</v>
      </c>
      <c r="F641" s="10">
        <v>20000</v>
      </c>
    </row>
    <row r="642" spans="1:6" ht="33.75" x14ac:dyDescent="0.25">
      <c r="A642" s="8">
        <v>76111501</v>
      </c>
      <c r="B642" s="9" t="s">
        <v>185</v>
      </c>
      <c r="C642" s="33" t="s">
        <v>55</v>
      </c>
      <c r="D642" s="8">
        <v>2</v>
      </c>
      <c r="E642" s="11">
        <v>1500</v>
      </c>
      <c r="F642" s="10">
        <v>3000</v>
      </c>
    </row>
    <row r="643" spans="1:6" ht="22.5" x14ac:dyDescent="0.25">
      <c r="A643" s="8">
        <v>31211502</v>
      </c>
      <c r="B643" s="9" t="s">
        <v>183</v>
      </c>
      <c r="C643" s="33" t="s">
        <v>55</v>
      </c>
      <c r="D643" s="8">
        <v>20</v>
      </c>
      <c r="E643" s="11">
        <v>5000</v>
      </c>
      <c r="F643" s="10">
        <v>100000</v>
      </c>
    </row>
    <row r="644" spans="1:6" ht="22.5" x14ac:dyDescent="0.25">
      <c r="A644" s="8">
        <v>31211506</v>
      </c>
      <c r="B644" s="9" t="s">
        <v>184</v>
      </c>
      <c r="C644" s="33" t="s">
        <v>55</v>
      </c>
      <c r="D644" s="8">
        <v>22</v>
      </c>
      <c r="E644" s="11">
        <v>4500</v>
      </c>
      <c r="F644" s="10">
        <v>99000</v>
      </c>
    </row>
    <row r="645" spans="1:6" x14ac:dyDescent="0.25">
      <c r="A645" s="2"/>
      <c r="B645" s="2"/>
      <c r="C645" s="2"/>
      <c r="D645" s="2"/>
      <c r="E645" s="13" t="s">
        <v>87</v>
      </c>
      <c r="F645" s="14">
        <v>517750</v>
      </c>
    </row>
    <row r="646" spans="1:6" ht="15.75" thickBot="1" x14ac:dyDescent="0.3">
      <c r="A646" s="1"/>
      <c r="B646" s="1"/>
      <c r="C646" s="1"/>
      <c r="D646" s="1"/>
      <c r="E646" s="1"/>
      <c r="F646" s="1"/>
    </row>
    <row r="647" spans="1:6" ht="34.5" thickBot="1" x14ac:dyDescent="0.3">
      <c r="A647" s="4" t="s">
        <v>19</v>
      </c>
      <c r="B647" s="4" t="s">
        <v>20</v>
      </c>
      <c r="C647" s="4" t="s">
        <v>21</v>
      </c>
      <c r="D647" s="4" t="s">
        <v>22</v>
      </c>
      <c r="E647" s="4" t="s">
        <v>23</v>
      </c>
      <c r="F647" s="4" t="s">
        <v>24</v>
      </c>
    </row>
    <row r="648" spans="1:6" ht="15.75" thickBot="1" x14ac:dyDescent="0.3">
      <c r="A648" s="32" t="s">
        <v>191</v>
      </c>
      <c r="B648" s="32" t="s">
        <v>192</v>
      </c>
      <c r="C648" s="6" t="s">
        <v>129</v>
      </c>
      <c r="D648" s="6" t="s">
        <v>28</v>
      </c>
      <c r="E648" s="32" t="s">
        <v>29</v>
      </c>
      <c r="F648" s="6"/>
    </row>
    <row r="649" spans="1:6" ht="15.75" thickBot="1" x14ac:dyDescent="0.3">
      <c r="A649" s="35" t="s">
        <v>31</v>
      </c>
      <c r="B649" s="7" t="s">
        <v>32</v>
      </c>
      <c r="C649" s="15">
        <v>45474</v>
      </c>
      <c r="D649" s="35" t="s">
        <v>33</v>
      </c>
      <c r="E649" s="7" t="s">
        <v>34</v>
      </c>
      <c r="F649" s="6"/>
    </row>
    <row r="650" spans="1:6" ht="15.75" thickBot="1" x14ac:dyDescent="0.3">
      <c r="A650" s="36"/>
      <c r="B650" s="7" t="s">
        <v>36</v>
      </c>
      <c r="C650" s="5">
        <v>3</v>
      </c>
      <c r="D650" s="36"/>
      <c r="E650" s="7" t="s">
        <v>37</v>
      </c>
      <c r="F650" s="6"/>
    </row>
    <row r="651" spans="1:6" ht="15.75" thickBot="1" x14ac:dyDescent="0.3">
      <c r="A651" s="36"/>
      <c r="B651" s="7" t="s">
        <v>39</v>
      </c>
      <c r="C651" s="15">
        <v>45565</v>
      </c>
      <c r="D651" s="36"/>
      <c r="E651" s="7" t="s">
        <v>40</v>
      </c>
      <c r="F651" s="6"/>
    </row>
    <row r="652" spans="1:6" ht="15.75" thickBot="1" x14ac:dyDescent="0.3">
      <c r="A652" s="36"/>
      <c r="B652" s="7" t="s">
        <v>36</v>
      </c>
      <c r="C652" s="5">
        <v>3</v>
      </c>
      <c r="D652" s="36"/>
      <c r="E652" s="7" t="s">
        <v>41</v>
      </c>
      <c r="F652" s="6"/>
    </row>
    <row r="653" spans="1:6" ht="15.75" thickBot="1" x14ac:dyDescent="0.3">
      <c r="A653" s="2"/>
      <c r="B653" s="2"/>
      <c r="C653" s="2"/>
      <c r="D653" s="2"/>
      <c r="E653" s="2"/>
      <c r="F653" s="2"/>
    </row>
    <row r="654" spans="1:6" ht="15.75" thickBot="1" x14ac:dyDescent="0.3">
      <c r="A654" s="12" t="s">
        <v>42</v>
      </c>
      <c r="B654" s="12" t="s">
        <v>43</v>
      </c>
      <c r="C654" s="12" t="s">
        <v>44</v>
      </c>
      <c r="D654" s="12" t="s">
        <v>45</v>
      </c>
      <c r="E654" s="12" t="s">
        <v>46</v>
      </c>
      <c r="F654" s="12" t="s">
        <v>47</v>
      </c>
    </row>
    <row r="655" spans="1:6" x14ac:dyDescent="0.25">
      <c r="A655" s="8">
        <v>84101601</v>
      </c>
      <c r="B655" s="9" t="s">
        <v>193</v>
      </c>
      <c r="C655" s="8" t="s">
        <v>55</v>
      </c>
      <c r="D655" s="8">
        <v>3</v>
      </c>
      <c r="E655" s="11">
        <v>112484</v>
      </c>
      <c r="F655" s="10">
        <v>337452</v>
      </c>
    </row>
    <row r="656" spans="1:6" x14ac:dyDescent="0.25">
      <c r="A656" s="2"/>
      <c r="B656" s="2"/>
      <c r="C656" s="2"/>
      <c r="D656" s="2"/>
      <c r="E656" s="13" t="s">
        <v>87</v>
      </c>
      <c r="F656" s="14">
        <v>337452</v>
      </c>
    </row>
    <row r="657" spans="1:6" ht="15.75" thickBot="1" x14ac:dyDescent="0.3">
      <c r="A657" s="1"/>
      <c r="B657" s="1"/>
      <c r="C657" s="1"/>
      <c r="D657" s="1"/>
      <c r="E657" s="1"/>
      <c r="F657" s="1"/>
    </row>
    <row r="658" spans="1:6" ht="34.5" thickBot="1" x14ac:dyDescent="0.3">
      <c r="A658" s="4" t="s">
        <v>19</v>
      </c>
      <c r="B658" s="4" t="s">
        <v>20</v>
      </c>
      <c r="C658" s="4" t="s">
        <v>21</v>
      </c>
      <c r="D658" s="4" t="s">
        <v>22</v>
      </c>
      <c r="E658" s="4" t="s">
        <v>23</v>
      </c>
      <c r="F658" s="4" t="s">
        <v>24</v>
      </c>
    </row>
    <row r="659" spans="1:6" ht="15.75" thickBot="1" x14ac:dyDescent="0.3">
      <c r="A659" s="32" t="s">
        <v>191</v>
      </c>
      <c r="B659" s="32" t="s">
        <v>192</v>
      </c>
      <c r="C659" s="6" t="s">
        <v>129</v>
      </c>
      <c r="D659" s="6" t="s">
        <v>28</v>
      </c>
      <c r="E659" s="32" t="s">
        <v>29</v>
      </c>
      <c r="F659" s="6"/>
    </row>
    <row r="660" spans="1:6" ht="15.75" thickBot="1" x14ac:dyDescent="0.3">
      <c r="A660" s="35" t="s">
        <v>31</v>
      </c>
      <c r="B660" s="7" t="s">
        <v>32</v>
      </c>
      <c r="C660" s="15">
        <v>45566</v>
      </c>
      <c r="D660" s="35" t="s">
        <v>33</v>
      </c>
      <c r="E660" s="7" t="s">
        <v>34</v>
      </c>
      <c r="F660" s="6"/>
    </row>
    <row r="661" spans="1:6" ht="15.75" thickBot="1" x14ac:dyDescent="0.3">
      <c r="A661" s="36"/>
      <c r="B661" s="7" t="s">
        <v>36</v>
      </c>
      <c r="C661" s="5">
        <v>4</v>
      </c>
      <c r="D661" s="36"/>
      <c r="E661" s="7" t="s">
        <v>37</v>
      </c>
      <c r="F661" s="6"/>
    </row>
    <row r="662" spans="1:6" ht="15.75" thickBot="1" x14ac:dyDescent="0.3">
      <c r="A662" s="36"/>
      <c r="B662" s="7" t="s">
        <v>39</v>
      </c>
      <c r="C662" s="15">
        <v>45656</v>
      </c>
      <c r="D662" s="36"/>
      <c r="E662" s="7" t="s">
        <v>40</v>
      </c>
      <c r="F662" s="6"/>
    </row>
    <row r="663" spans="1:6" ht="15.75" thickBot="1" x14ac:dyDescent="0.3">
      <c r="A663" s="36"/>
      <c r="B663" s="7" t="s">
        <v>36</v>
      </c>
      <c r="C663" s="5">
        <v>4</v>
      </c>
      <c r="D663" s="36"/>
      <c r="E663" s="7" t="s">
        <v>41</v>
      </c>
      <c r="F663" s="6"/>
    </row>
    <row r="664" spans="1:6" ht="15.75" thickBot="1" x14ac:dyDescent="0.3">
      <c r="A664" s="2"/>
      <c r="B664" s="2"/>
      <c r="C664" s="2"/>
      <c r="D664" s="2"/>
      <c r="E664" s="2"/>
      <c r="F664" s="2"/>
    </row>
    <row r="665" spans="1:6" ht="15.75" thickBot="1" x14ac:dyDescent="0.3">
      <c r="A665" s="12" t="s">
        <v>42</v>
      </c>
      <c r="B665" s="12" t="s">
        <v>43</v>
      </c>
      <c r="C665" s="12" t="s">
        <v>44</v>
      </c>
      <c r="D665" s="12" t="s">
        <v>45</v>
      </c>
      <c r="E665" s="12" t="s">
        <v>46</v>
      </c>
      <c r="F665" s="12" t="s">
        <v>47</v>
      </c>
    </row>
    <row r="666" spans="1:6" x14ac:dyDescent="0.25">
      <c r="A666" s="8">
        <v>84101601</v>
      </c>
      <c r="B666" s="9" t="s">
        <v>193</v>
      </c>
      <c r="C666" s="33" t="s">
        <v>55</v>
      </c>
      <c r="D666" s="8">
        <v>3</v>
      </c>
      <c r="E666" s="11">
        <v>112484</v>
      </c>
      <c r="F666" s="10">
        <v>337452</v>
      </c>
    </row>
    <row r="667" spans="1:6" x14ac:dyDescent="0.25">
      <c r="A667" s="2"/>
      <c r="B667" s="2"/>
      <c r="C667" s="2"/>
      <c r="D667" s="2"/>
      <c r="E667" s="13" t="s">
        <v>87</v>
      </c>
      <c r="F667" s="14">
        <v>337452</v>
      </c>
    </row>
    <row r="668" spans="1:6" ht="15.75" thickBot="1" x14ac:dyDescent="0.3">
      <c r="A668" s="1"/>
      <c r="B668" s="1"/>
      <c r="C668" s="1"/>
      <c r="D668" s="1"/>
      <c r="E668" s="1"/>
      <c r="F668" s="1"/>
    </row>
    <row r="669" spans="1:6" ht="34.5" thickBot="1" x14ac:dyDescent="0.3">
      <c r="A669" s="4" t="s">
        <v>19</v>
      </c>
      <c r="B669" s="4" t="s">
        <v>20</v>
      </c>
      <c r="C669" s="4" t="s">
        <v>21</v>
      </c>
      <c r="D669" s="4" t="s">
        <v>22</v>
      </c>
      <c r="E669" s="4" t="s">
        <v>23</v>
      </c>
      <c r="F669" s="4" t="s">
        <v>24</v>
      </c>
    </row>
    <row r="670" spans="1:6" ht="15.75" thickBot="1" x14ac:dyDescent="0.3">
      <c r="A670" s="32" t="s">
        <v>145</v>
      </c>
      <c r="B670" s="32" t="s">
        <v>146</v>
      </c>
      <c r="C670" s="6" t="s">
        <v>129</v>
      </c>
      <c r="D670" s="6" t="s">
        <v>28</v>
      </c>
      <c r="E670" s="32" t="s">
        <v>29</v>
      </c>
      <c r="F670" s="6"/>
    </row>
    <row r="671" spans="1:6" ht="15.75" thickBot="1" x14ac:dyDescent="0.3">
      <c r="A671" s="35" t="s">
        <v>31</v>
      </c>
      <c r="B671" s="7" t="s">
        <v>32</v>
      </c>
      <c r="C671" s="15">
        <v>45566</v>
      </c>
      <c r="D671" s="35" t="s">
        <v>33</v>
      </c>
      <c r="E671" s="7" t="s">
        <v>34</v>
      </c>
      <c r="F671" s="6"/>
    </row>
    <row r="672" spans="1:6" ht="15.75" thickBot="1" x14ac:dyDescent="0.3">
      <c r="A672" s="36"/>
      <c r="B672" s="7" t="s">
        <v>36</v>
      </c>
      <c r="C672" s="5">
        <v>4</v>
      </c>
      <c r="D672" s="36"/>
      <c r="E672" s="7" t="s">
        <v>37</v>
      </c>
      <c r="F672" s="6"/>
    </row>
    <row r="673" spans="1:6" ht="15.75" thickBot="1" x14ac:dyDescent="0.3">
      <c r="A673" s="36"/>
      <c r="B673" s="7" t="s">
        <v>39</v>
      </c>
      <c r="C673" s="15">
        <v>45656</v>
      </c>
      <c r="D673" s="36"/>
      <c r="E673" s="7" t="s">
        <v>40</v>
      </c>
      <c r="F673" s="6"/>
    </row>
    <row r="674" spans="1:6" ht="15.75" thickBot="1" x14ac:dyDescent="0.3">
      <c r="A674" s="36"/>
      <c r="B674" s="7" t="s">
        <v>36</v>
      </c>
      <c r="C674" s="5">
        <v>4</v>
      </c>
      <c r="D674" s="36"/>
      <c r="E674" s="7" t="s">
        <v>41</v>
      </c>
      <c r="F674" s="6"/>
    </row>
    <row r="675" spans="1:6" ht="15.75" thickBot="1" x14ac:dyDescent="0.3">
      <c r="A675" s="2"/>
      <c r="B675" s="2"/>
      <c r="C675" s="2"/>
      <c r="D675" s="2"/>
      <c r="E675" s="2"/>
      <c r="F675" s="2"/>
    </row>
    <row r="676" spans="1:6" ht="15.75" thickBot="1" x14ac:dyDescent="0.3">
      <c r="A676" s="12" t="s">
        <v>42</v>
      </c>
      <c r="B676" s="12" t="s">
        <v>43</v>
      </c>
      <c r="C676" s="12" t="s">
        <v>44</v>
      </c>
      <c r="D676" s="12" t="s">
        <v>45</v>
      </c>
      <c r="E676" s="12" t="s">
        <v>46</v>
      </c>
      <c r="F676" s="12" t="s">
        <v>47</v>
      </c>
    </row>
    <row r="677" spans="1:6" ht="67.5" x14ac:dyDescent="0.25">
      <c r="A677" s="8">
        <v>86101808</v>
      </c>
      <c r="B677" s="9" t="s">
        <v>148</v>
      </c>
      <c r="C677" s="8" t="s">
        <v>55</v>
      </c>
      <c r="D677" s="8">
        <v>2</v>
      </c>
      <c r="E677" s="11">
        <v>104150</v>
      </c>
      <c r="F677" s="10">
        <v>208300</v>
      </c>
    </row>
    <row r="678" spans="1:6" x14ac:dyDescent="0.25">
      <c r="A678" s="2"/>
      <c r="B678" s="2"/>
      <c r="C678" s="2"/>
      <c r="D678" s="2"/>
      <c r="E678" s="13" t="s">
        <v>87</v>
      </c>
      <c r="F678" s="14">
        <v>208300</v>
      </c>
    </row>
    <row r="679" spans="1:6" ht="15.75" thickBot="1" x14ac:dyDescent="0.3">
      <c r="A679" s="1"/>
      <c r="B679" s="1"/>
      <c r="C679" s="1"/>
      <c r="D679" s="1"/>
      <c r="E679" s="1"/>
      <c r="F679" s="1"/>
    </row>
    <row r="680" spans="1:6" ht="34.5" thickBot="1" x14ac:dyDescent="0.3">
      <c r="A680" s="4" t="s">
        <v>19</v>
      </c>
      <c r="B680" s="4" t="s">
        <v>20</v>
      </c>
      <c r="C680" s="4" t="s">
        <v>21</v>
      </c>
      <c r="D680" s="4" t="s">
        <v>22</v>
      </c>
      <c r="E680" s="4" t="s">
        <v>23</v>
      </c>
      <c r="F680" s="4" t="s">
        <v>24</v>
      </c>
    </row>
    <row r="681" spans="1:6" ht="15.75" thickBot="1" x14ac:dyDescent="0.3">
      <c r="A681" s="32" t="s">
        <v>154</v>
      </c>
      <c r="B681" s="32" t="s">
        <v>155</v>
      </c>
      <c r="C681" s="6" t="s">
        <v>129</v>
      </c>
      <c r="D681" s="6" t="s">
        <v>28</v>
      </c>
      <c r="E681" s="32" t="s">
        <v>29</v>
      </c>
      <c r="F681" s="6"/>
    </row>
    <row r="682" spans="1:6" ht="15.75" thickBot="1" x14ac:dyDescent="0.3">
      <c r="A682" s="35" t="s">
        <v>31</v>
      </c>
      <c r="B682" s="7" t="s">
        <v>32</v>
      </c>
      <c r="C682" s="15">
        <v>45566</v>
      </c>
      <c r="D682" s="35" t="s">
        <v>33</v>
      </c>
      <c r="E682" s="7" t="s">
        <v>34</v>
      </c>
      <c r="F682" s="6"/>
    </row>
    <row r="683" spans="1:6" ht="15.75" thickBot="1" x14ac:dyDescent="0.3">
      <c r="A683" s="36"/>
      <c r="B683" s="7" t="s">
        <v>36</v>
      </c>
      <c r="C683" s="5">
        <v>4</v>
      </c>
      <c r="D683" s="36"/>
      <c r="E683" s="7" t="s">
        <v>37</v>
      </c>
      <c r="F683" s="6"/>
    </row>
    <row r="684" spans="1:6" ht="15.75" thickBot="1" x14ac:dyDescent="0.3">
      <c r="A684" s="36"/>
      <c r="B684" s="7" t="s">
        <v>39</v>
      </c>
      <c r="C684" s="15">
        <v>45656</v>
      </c>
      <c r="D684" s="36"/>
      <c r="E684" s="7" t="s">
        <v>40</v>
      </c>
      <c r="F684" s="6"/>
    </row>
    <row r="685" spans="1:6" ht="15.75" thickBot="1" x14ac:dyDescent="0.3">
      <c r="A685" s="36"/>
      <c r="B685" s="7" t="s">
        <v>36</v>
      </c>
      <c r="C685" s="5">
        <v>4</v>
      </c>
      <c r="D685" s="36"/>
      <c r="E685" s="7" t="s">
        <v>41</v>
      </c>
      <c r="F685" s="6"/>
    </row>
    <row r="686" spans="1:6" ht="15.75" thickBot="1" x14ac:dyDescent="0.3">
      <c r="A686" s="2"/>
      <c r="B686" s="2"/>
      <c r="C686" s="2"/>
      <c r="D686" s="2"/>
      <c r="E686" s="2"/>
      <c r="F686" s="2"/>
    </row>
    <row r="687" spans="1:6" ht="15.75" thickBot="1" x14ac:dyDescent="0.3">
      <c r="A687" s="12" t="s">
        <v>42</v>
      </c>
      <c r="B687" s="12" t="s">
        <v>43</v>
      </c>
      <c r="C687" s="12" t="s">
        <v>44</v>
      </c>
      <c r="D687" s="12" t="s">
        <v>45</v>
      </c>
      <c r="E687" s="12" t="s">
        <v>46</v>
      </c>
      <c r="F687" s="12" t="s">
        <v>47</v>
      </c>
    </row>
    <row r="688" spans="1:6" ht="22.5" x14ac:dyDescent="0.25">
      <c r="A688" s="8">
        <v>80141607</v>
      </c>
      <c r="B688" s="9" t="s">
        <v>156</v>
      </c>
      <c r="C688" s="8" t="s">
        <v>55</v>
      </c>
      <c r="D688" s="8">
        <v>1</v>
      </c>
      <c r="E688" s="11">
        <v>250000</v>
      </c>
      <c r="F688" s="10">
        <v>250000</v>
      </c>
    </row>
    <row r="689" spans="1:6" x14ac:dyDescent="0.25">
      <c r="A689" s="2"/>
      <c r="B689" s="2"/>
      <c r="C689" s="2"/>
      <c r="D689" s="2"/>
      <c r="E689" s="13" t="s">
        <v>87</v>
      </c>
      <c r="F689" s="14">
        <v>250000</v>
      </c>
    </row>
    <row r="690" spans="1:6" ht="15.75" thickBot="1" x14ac:dyDescent="0.3">
      <c r="A690" s="1"/>
      <c r="B690" s="1"/>
      <c r="C690" s="1"/>
      <c r="D690" s="1"/>
      <c r="E690" s="1"/>
      <c r="F690" s="1"/>
    </row>
    <row r="691" spans="1:6" ht="34.5" thickBot="1" x14ac:dyDescent="0.3">
      <c r="A691" s="4" t="s">
        <v>19</v>
      </c>
      <c r="B691" s="4" t="s">
        <v>20</v>
      </c>
      <c r="C691" s="4" t="s">
        <v>21</v>
      </c>
      <c r="D691" s="4" t="s">
        <v>22</v>
      </c>
      <c r="E691" s="4" t="s">
        <v>23</v>
      </c>
      <c r="F691" s="4" t="s">
        <v>24</v>
      </c>
    </row>
    <row r="692" spans="1:6" ht="15.75" thickBot="1" x14ac:dyDescent="0.3">
      <c r="A692" s="32" t="s">
        <v>214</v>
      </c>
      <c r="B692" s="32" t="s">
        <v>215</v>
      </c>
      <c r="C692" s="32" t="s">
        <v>129</v>
      </c>
      <c r="D692" s="6" t="s">
        <v>140</v>
      </c>
      <c r="E692" s="32" t="s">
        <v>29</v>
      </c>
      <c r="F692" s="6"/>
    </row>
    <row r="693" spans="1:6" ht="15.75" thickBot="1" x14ac:dyDescent="0.3">
      <c r="A693" s="35" t="s">
        <v>31</v>
      </c>
      <c r="B693" s="7" t="s">
        <v>32</v>
      </c>
      <c r="C693" s="15">
        <v>45323</v>
      </c>
      <c r="D693" s="35" t="s">
        <v>33</v>
      </c>
      <c r="E693" s="7" t="s">
        <v>34</v>
      </c>
      <c r="F693" s="6"/>
    </row>
    <row r="694" spans="1:6" ht="15.75" thickBot="1" x14ac:dyDescent="0.3">
      <c r="A694" s="36"/>
      <c r="B694" s="7" t="s">
        <v>36</v>
      </c>
      <c r="C694" s="5">
        <v>1</v>
      </c>
      <c r="D694" s="36"/>
      <c r="E694" s="7" t="s">
        <v>37</v>
      </c>
      <c r="F694" s="6"/>
    </row>
    <row r="695" spans="1:6" ht="15.75" thickBot="1" x14ac:dyDescent="0.3">
      <c r="A695" s="36"/>
      <c r="B695" s="7" t="s">
        <v>39</v>
      </c>
      <c r="C695" s="15">
        <v>45381</v>
      </c>
      <c r="D695" s="36"/>
      <c r="E695" s="7" t="s">
        <v>40</v>
      </c>
      <c r="F695" s="6"/>
    </row>
    <row r="696" spans="1:6" ht="15.75" thickBot="1" x14ac:dyDescent="0.3">
      <c r="A696" s="36"/>
      <c r="B696" s="7" t="s">
        <v>36</v>
      </c>
      <c r="C696" s="5">
        <v>1</v>
      </c>
      <c r="D696" s="36"/>
      <c r="E696" s="7" t="s">
        <v>41</v>
      </c>
      <c r="F696" s="6"/>
    </row>
    <row r="697" spans="1:6" ht="15.75" thickBot="1" x14ac:dyDescent="0.3">
      <c r="A697" s="2"/>
      <c r="B697" s="2"/>
      <c r="C697" s="2"/>
      <c r="D697" s="2"/>
      <c r="E697" s="2"/>
      <c r="F697" s="2"/>
    </row>
    <row r="698" spans="1:6" ht="15.75" thickBot="1" x14ac:dyDescent="0.3">
      <c r="A698" s="12" t="s">
        <v>42</v>
      </c>
      <c r="B698" s="12" t="s">
        <v>43</v>
      </c>
      <c r="C698" s="12" t="s">
        <v>44</v>
      </c>
      <c r="D698" s="12" t="s">
        <v>45</v>
      </c>
      <c r="E698" s="12" t="s">
        <v>46</v>
      </c>
      <c r="F698" s="12" t="s">
        <v>47</v>
      </c>
    </row>
    <row r="699" spans="1:6" ht="22.5" x14ac:dyDescent="0.25">
      <c r="A699" s="8">
        <v>78111808</v>
      </c>
      <c r="B699" s="9" t="s">
        <v>216</v>
      </c>
      <c r="C699" s="33" t="s">
        <v>55</v>
      </c>
      <c r="D699" s="8">
        <v>40</v>
      </c>
      <c r="E699" s="11">
        <v>16800</v>
      </c>
      <c r="F699" s="10">
        <v>672000</v>
      </c>
    </row>
    <row r="700" spans="1:6" ht="33.75" x14ac:dyDescent="0.25">
      <c r="A700" s="8">
        <v>78111803</v>
      </c>
      <c r="B700" s="9" t="s">
        <v>217</v>
      </c>
      <c r="C700" s="33" t="s">
        <v>55</v>
      </c>
      <c r="D700" s="8">
        <v>150</v>
      </c>
      <c r="E700" s="11">
        <v>30000</v>
      </c>
      <c r="F700" s="10">
        <v>4500000</v>
      </c>
    </row>
    <row r="701" spans="1:6" ht="78.75" x14ac:dyDescent="0.25">
      <c r="A701" s="34">
        <v>78101802</v>
      </c>
      <c r="B701" s="9" t="s">
        <v>218</v>
      </c>
      <c r="C701" s="33" t="s">
        <v>55</v>
      </c>
      <c r="D701" s="8">
        <v>60</v>
      </c>
      <c r="E701" s="11">
        <v>35000</v>
      </c>
      <c r="F701" s="10">
        <v>2100000</v>
      </c>
    </row>
    <row r="702" spans="1:6" x14ac:dyDescent="0.25">
      <c r="A702" s="2"/>
      <c r="B702" s="2"/>
      <c r="C702" s="2"/>
      <c r="D702" s="2"/>
      <c r="E702" s="13" t="s">
        <v>87</v>
      </c>
      <c r="F702" s="14">
        <v>7272000</v>
      </c>
    </row>
    <row r="703" spans="1:6" ht="15.75" thickBot="1" x14ac:dyDescent="0.3">
      <c r="A703" s="1"/>
      <c r="B703" s="1"/>
      <c r="C703" s="1"/>
      <c r="D703" s="1"/>
      <c r="E703" s="1"/>
      <c r="F703" s="1"/>
    </row>
    <row r="704" spans="1:6" ht="34.5" thickBot="1" x14ac:dyDescent="0.3">
      <c r="A704" s="4" t="s">
        <v>19</v>
      </c>
      <c r="B704" s="4" t="s">
        <v>20</v>
      </c>
      <c r="C704" s="4" t="s">
        <v>21</v>
      </c>
      <c r="D704" s="4" t="s">
        <v>22</v>
      </c>
      <c r="E704" s="4" t="s">
        <v>23</v>
      </c>
      <c r="F704" s="4" t="s">
        <v>24</v>
      </c>
    </row>
    <row r="705" spans="1:6" ht="15.75" thickBot="1" x14ac:dyDescent="0.3">
      <c r="A705" s="32" t="s">
        <v>219</v>
      </c>
      <c r="B705" s="32" t="s">
        <v>220</v>
      </c>
      <c r="C705" s="32" t="s">
        <v>129</v>
      </c>
      <c r="D705" s="6" t="s">
        <v>140</v>
      </c>
      <c r="E705" s="32" t="s">
        <v>29</v>
      </c>
      <c r="F705" s="6"/>
    </row>
    <row r="706" spans="1:6" ht="15.75" thickBot="1" x14ac:dyDescent="0.3">
      <c r="A706" s="35" t="s">
        <v>31</v>
      </c>
      <c r="B706" s="7" t="s">
        <v>32</v>
      </c>
      <c r="C706" s="15">
        <v>45323</v>
      </c>
      <c r="D706" s="35" t="s">
        <v>33</v>
      </c>
      <c r="E706" s="7" t="s">
        <v>34</v>
      </c>
      <c r="F706" s="6"/>
    </row>
    <row r="707" spans="1:6" ht="15.75" thickBot="1" x14ac:dyDescent="0.3">
      <c r="A707" s="36"/>
      <c r="B707" s="7" t="s">
        <v>36</v>
      </c>
      <c r="C707" s="5">
        <v>1</v>
      </c>
      <c r="D707" s="36"/>
      <c r="E707" s="7" t="s">
        <v>37</v>
      </c>
      <c r="F707" s="6"/>
    </row>
    <row r="708" spans="1:6" ht="15.75" thickBot="1" x14ac:dyDescent="0.3">
      <c r="A708" s="36"/>
      <c r="B708" s="7" t="s">
        <v>39</v>
      </c>
      <c r="C708" s="15">
        <v>45381</v>
      </c>
      <c r="D708" s="36"/>
      <c r="E708" s="7" t="s">
        <v>40</v>
      </c>
      <c r="F708" s="6"/>
    </row>
    <row r="709" spans="1:6" ht="15.75" thickBot="1" x14ac:dyDescent="0.3">
      <c r="A709" s="36"/>
      <c r="B709" s="7" t="s">
        <v>36</v>
      </c>
      <c r="C709" s="5">
        <v>1</v>
      </c>
      <c r="D709" s="36"/>
      <c r="E709" s="7" t="s">
        <v>41</v>
      </c>
      <c r="F709" s="6"/>
    </row>
    <row r="710" spans="1:6" ht="15.75" thickBot="1" x14ac:dyDescent="0.3">
      <c r="A710" s="2"/>
      <c r="B710" s="2"/>
      <c r="C710" s="2"/>
      <c r="D710" s="2"/>
      <c r="E710" s="2"/>
      <c r="F710" s="2"/>
    </row>
    <row r="711" spans="1:6" ht="15.75" thickBot="1" x14ac:dyDescent="0.3">
      <c r="A711" s="12" t="s">
        <v>42</v>
      </c>
      <c r="B711" s="12" t="s">
        <v>43</v>
      </c>
      <c r="C711" s="12" t="s">
        <v>44</v>
      </c>
      <c r="D711" s="12" t="s">
        <v>45</v>
      </c>
      <c r="E711" s="12" t="s">
        <v>46</v>
      </c>
      <c r="F711" s="12" t="s">
        <v>47</v>
      </c>
    </row>
    <row r="712" spans="1:6" ht="22.5" x14ac:dyDescent="0.25">
      <c r="A712" s="8">
        <v>80141607</v>
      </c>
      <c r="B712" s="9" t="s">
        <v>156</v>
      </c>
      <c r="C712" s="8" t="s">
        <v>55</v>
      </c>
      <c r="D712" s="8">
        <v>1</v>
      </c>
      <c r="E712" s="11">
        <v>30000000</v>
      </c>
      <c r="F712" s="10">
        <v>30000000</v>
      </c>
    </row>
    <row r="713" spans="1:6" ht="22.5" x14ac:dyDescent="0.25">
      <c r="A713" s="8">
        <v>80141607</v>
      </c>
      <c r="B713" s="9" t="s">
        <v>156</v>
      </c>
      <c r="C713" s="33" t="s">
        <v>55</v>
      </c>
      <c r="D713" s="8">
        <v>1</v>
      </c>
      <c r="E713" s="11">
        <v>30000000</v>
      </c>
      <c r="F713" s="10">
        <v>30000000</v>
      </c>
    </row>
    <row r="714" spans="1:6" x14ac:dyDescent="0.25">
      <c r="A714" s="2"/>
      <c r="B714" s="2"/>
      <c r="C714" s="2"/>
      <c r="D714" s="2"/>
      <c r="E714" s="13" t="s">
        <v>87</v>
      </c>
      <c r="F714" s="14">
        <v>60000000</v>
      </c>
    </row>
    <row r="715" spans="1:6" ht="15.75" thickBot="1" x14ac:dyDescent="0.3">
      <c r="A715" s="1"/>
      <c r="B715" s="1"/>
      <c r="C715" s="1"/>
      <c r="D715" s="1"/>
      <c r="E715" s="1"/>
      <c r="F715" s="1"/>
    </row>
    <row r="716" spans="1:6" ht="34.5" thickBot="1" x14ac:dyDescent="0.3">
      <c r="A716" s="4" t="s">
        <v>19</v>
      </c>
      <c r="B716" s="4" t="s">
        <v>20</v>
      </c>
      <c r="C716" s="4" t="s">
        <v>21</v>
      </c>
      <c r="D716" s="4" t="s">
        <v>22</v>
      </c>
      <c r="E716" s="4" t="s">
        <v>23</v>
      </c>
      <c r="F716" s="4" t="s">
        <v>24</v>
      </c>
    </row>
    <row r="717" spans="1:6" ht="15.75" thickBot="1" x14ac:dyDescent="0.3">
      <c r="A717" s="32" t="s">
        <v>221</v>
      </c>
      <c r="B717" s="32" t="s">
        <v>222</v>
      </c>
      <c r="C717" s="6" t="s">
        <v>129</v>
      </c>
      <c r="D717" s="6" t="s">
        <v>140</v>
      </c>
      <c r="E717" s="32" t="s">
        <v>29</v>
      </c>
      <c r="F717" s="6"/>
    </row>
    <row r="718" spans="1:6" ht="15.75" thickBot="1" x14ac:dyDescent="0.3">
      <c r="A718" s="35" t="s">
        <v>31</v>
      </c>
      <c r="B718" s="7" t="s">
        <v>32</v>
      </c>
      <c r="C718" s="15">
        <v>45323</v>
      </c>
      <c r="D718" s="35" t="s">
        <v>33</v>
      </c>
      <c r="E718" s="7" t="s">
        <v>34</v>
      </c>
      <c r="F718" s="6"/>
    </row>
    <row r="719" spans="1:6" ht="15.75" thickBot="1" x14ac:dyDescent="0.3">
      <c r="A719" s="36"/>
      <c r="B719" s="7" t="s">
        <v>36</v>
      </c>
      <c r="C719" s="5">
        <v>1</v>
      </c>
      <c r="D719" s="36"/>
      <c r="E719" s="7" t="s">
        <v>37</v>
      </c>
      <c r="F719" s="6"/>
    </row>
    <row r="720" spans="1:6" ht="15.75" thickBot="1" x14ac:dyDescent="0.3">
      <c r="A720" s="36"/>
      <c r="B720" s="7" t="s">
        <v>39</v>
      </c>
      <c r="C720" s="15">
        <v>45381</v>
      </c>
      <c r="D720" s="36"/>
      <c r="E720" s="7" t="s">
        <v>40</v>
      </c>
      <c r="F720" s="6"/>
    </row>
    <row r="721" spans="1:6" ht="15.75" thickBot="1" x14ac:dyDescent="0.3">
      <c r="A721" s="36"/>
      <c r="B721" s="7" t="s">
        <v>36</v>
      </c>
      <c r="C721" s="5">
        <v>1</v>
      </c>
      <c r="D721" s="36"/>
      <c r="E721" s="7" t="s">
        <v>41</v>
      </c>
      <c r="F721" s="6"/>
    </row>
    <row r="722" spans="1:6" ht="15.75" thickBot="1" x14ac:dyDescent="0.3">
      <c r="A722" s="2"/>
      <c r="B722" s="2"/>
      <c r="C722" s="2"/>
      <c r="D722" s="2"/>
      <c r="E722" s="2"/>
      <c r="F722" s="2"/>
    </row>
    <row r="723" spans="1:6" ht="15.75" thickBot="1" x14ac:dyDescent="0.3">
      <c r="A723" s="12" t="s">
        <v>42</v>
      </c>
      <c r="B723" s="12" t="s">
        <v>43</v>
      </c>
      <c r="C723" s="12" t="s">
        <v>44</v>
      </c>
      <c r="D723" s="12" t="s">
        <v>45</v>
      </c>
      <c r="E723" s="12" t="s">
        <v>46</v>
      </c>
      <c r="F723" s="12" t="s">
        <v>47</v>
      </c>
    </row>
    <row r="724" spans="1:6" ht="33.75" x14ac:dyDescent="0.25">
      <c r="A724" s="8">
        <v>90101802</v>
      </c>
      <c r="B724" s="9" t="s">
        <v>223</v>
      </c>
      <c r="C724" s="8" t="s">
        <v>55</v>
      </c>
      <c r="D724" s="8">
        <v>10</v>
      </c>
      <c r="E724" s="11">
        <v>44999900</v>
      </c>
      <c r="F724" s="10">
        <v>449999000</v>
      </c>
    </row>
    <row r="725" spans="1:6" x14ac:dyDescent="0.25">
      <c r="A725" s="2"/>
      <c r="B725" s="2"/>
      <c r="C725" s="2"/>
      <c r="D725" s="2"/>
      <c r="E725" s="13" t="s">
        <v>87</v>
      </c>
      <c r="F725" s="14">
        <v>449999000</v>
      </c>
    </row>
    <row r="726" spans="1:6" ht="15.75" thickBot="1" x14ac:dyDescent="0.3">
      <c r="A726" s="1"/>
      <c r="B726" s="1"/>
      <c r="C726" s="1"/>
      <c r="D726" s="1"/>
      <c r="E726" s="1"/>
      <c r="F726" s="1"/>
    </row>
    <row r="727" spans="1:6" ht="34.5" thickBot="1" x14ac:dyDescent="0.3">
      <c r="A727" s="4" t="s">
        <v>19</v>
      </c>
      <c r="B727" s="4" t="s">
        <v>20</v>
      </c>
      <c r="C727" s="4" t="s">
        <v>21</v>
      </c>
      <c r="D727" s="4" t="s">
        <v>22</v>
      </c>
      <c r="E727" s="4" t="s">
        <v>23</v>
      </c>
      <c r="F727" s="4" t="s">
        <v>24</v>
      </c>
    </row>
    <row r="728" spans="1:6" ht="15.75" thickBot="1" x14ac:dyDescent="0.3">
      <c r="A728" s="32" t="s">
        <v>224</v>
      </c>
      <c r="B728" s="32" t="s">
        <v>225</v>
      </c>
      <c r="C728" s="6" t="s">
        <v>27</v>
      </c>
      <c r="D728" s="6" t="s">
        <v>140</v>
      </c>
      <c r="E728" s="32" t="s">
        <v>29</v>
      </c>
      <c r="F728" s="6"/>
    </row>
    <row r="729" spans="1:6" ht="15.75" thickBot="1" x14ac:dyDescent="0.3">
      <c r="A729" s="35" t="s">
        <v>31</v>
      </c>
      <c r="B729" s="7" t="s">
        <v>32</v>
      </c>
      <c r="C729" s="15">
        <v>45323</v>
      </c>
      <c r="D729" s="35" t="s">
        <v>33</v>
      </c>
      <c r="E729" s="7" t="s">
        <v>34</v>
      </c>
      <c r="F729" s="6"/>
    </row>
    <row r="730" spans="1:6" ht="15.75" thickBot="1" x14ac:dyDescent="0.3">
      <c r="A730" s="36"/>
      <c r="B730" s="7" t="s">
        <v>36</v>
      </c>
      <c r="C730" s="5">
        <v>1</v>
      </c>
      <c r="D730" s="36"/>
      <c r="E730" s="7" t="s">
        <v>37</v>
      </c>
      <c r="F730" s="6"/>
    </row>
    <row r="731" spans="1:6" ht="15.75" thickBot="1" x14ac:dyDescent="0.3">
      <c r="A731" s="36"/>
      <c r="B731" s="7" t="s">
        <v>39</v>
      </c>
      <c r="C731" s="15">
        <v>45381</v>
      </c>
      <c r="D731" s="36"/>
      <c r="E731" s="7" t="s">
        <v>40</v>
      </c>
      <c r="F731" s="6"/>
    </row>
    <row r="732" spans="1:6" ht="15.75" thickBot="1" x14ac:dyDescent="0.3">
      <c r="A732" s="36"/>
      <c r="B732" s="7" t="s">
        <v>36</v>
      </c>
      <c r="C732" s="5">
        <v>1</v>
      </c>
      <c r="D732" s="36"/>
      <c r="E732" s="7" t="s">
        <v>41</v>
      </c>
      <c r="F732" s="6"/>
    </row>
    <row r="733" spans="1:6" ht="15.75" thickBot="1" x14ac:dyDescent="0.3">
      <c r="A733" s="2"/>
      <c r="B733" s="2"/>
      <c r="C733" s="2"/>
      <c r="D733" s="2"/>
      <c r="E733" s="2"/>
      <c r="F733" s="2"/>
    </row>
    <row r="734" spans="1:6" ht="15.75" thickBot="1" x14ac:dyDescent="0.3">
      <c r="A734" s="12" t="s">
        <v>42</v>
      </c>
      <c r="B734" s="12" t="s">
        <v>43</v>
      </c>
      <c r="C734" s="12" t="s">
        <v>44</v>
      </c>
      <c r="D734" s="12" t="s">
        <v>45</v>
      </c>
      <c r="E734" s="12" t="s">
        <v>46</v>
      </c>
      <c r="F734" s="12" t="s">
        <v>47</v>
      </c>
    </row>
    <row r="735" spans="1:6" x14ac:dyDescent="0.25">
      <c r="A735" s="34">
        <v>44121701</v>
      </c>
      <c r="B735" s="9" t="s">
        <v>53</v>
      </c>
      <c r="C735" s="8" t="s">
        <v>55</v>
      </c>
      <c r="D735" s="8">
        <v>18000</v>
      </c>
      <c r="E735" s="11">
        <v>9.44</v>
      </c>
      <c r="F735" s="10">
        <v>169920</v>
      </c>
    </row>
    <row r="736" spans="1:6" x14ac:dyDescent="0.25">
      <c r="A736" s="34">
        <v>44121703</v>
      </c>
      <c r="B736" s="9" t="s">
        <v>226</v>
      </c>
      <c r="C736" s="33" t="s">
        <v>55</v>
      </c>
      <c r="D736" s="8">
        <v>3600</v>
      </c>
      <c r="E736" s="11">
        <v>22.22</v>
      </c>
      <c r="F736" s="10">
        <v>79992</v>
      </c>
    </row>
    <row r="737" spans="1:6" ht="22.5" x14ac:dyDescent="0.25">
      <c r="A737" s="34">
        <v>44121706</v>
      </c>
      <c r="B737" s="9" t="s">
        <v>57</v>
      </c>
      <c r="C737" s="33" t="s">
        <v>55</v>
      </c>
      <c r="D737" s="8">
        <v>4800</v>
      </c>
      <c r="E737" s="11">
        <v>16.75</v>
      </c>
      <c r="F737" s="10">
        <v>80400</v>
      </c>
    </row>
    <row r="738" spans="1:6" x14ac:dyDescent="0.25">
      <c r="A738" s="34">
        <v>44121708</v>
      </c>
      <c r="B738" s="9" t="s">
        <v>60</v>
      </c>
      <c r="C738" s="33" t="s">
        <v>55</v>
      </c>
      <c r="D738" s="8">
        <v>1050</v>
      </c>
      <c r="E738" s="11">
        <v>152.38</v>
      </c>
      <c r="F738" s="10">
        <v>159999</v>
      </c>
    </row>
    <row r="739" spans="1:6" x14ac:dyDescent="0.25">
      <c r="A739" s="34">
        <v>44121716</v>
      </c>
      <c r="B739" s="9" t="s">
        <v>227</v>
      </c>
      <c r="C739" s="33" t="s">
        <v>55</v>
      </c>
      <c r="D739" s="8">
        <v>3000</v>
      </c>
      <c r="E739" s="11">
        <v>23.33</v>
      </c>
      <c r="F739" s="10">
        <v>69990</v>
      </c>
    </row>
    <row r="740" spans="1:6" x14ac:dyDescent="0.25">
      <c r="A740" s="34">
        <v>44121708</v>
      </c>
      <c r="B740" s="9" t="s">
        <v>60</v>
      </c>
      <c r="C740" s="33" t="s">
        <v>55</v>
      </c>
      <c r="D740" s="8">
        <v>4500</v>
      </c>
      <c r="E740" s="11">
        <v>35.56</v>
      </c>
      <c r="F740" s="10">
        <v>160020</v>
      </c>
    </row>
    <row r="741" spans="1:6" x14ac:dyDescent="0.25">
      <c r="A741" s="34">
        <v>44121804</v>
      </c>
      <c r="B741" s="9" t="s">
        <v>228</v>
      </c>
      <c r="C741" s="33" t="s">
        <v>55</v>
      </c>
      <c r="D741" s="8">
        <v>1000</v>
      </c>
      <c r="E741" s="11">
        <v>22</v>
      </c>
      <c r="F741" s="10">
        <v>22000</v>
      </c>
    </row>
    <row r="742" spans="1:6" ht="45" x14ac:dyDescent="0.25">
      <c r="A742" s="34">
        <v>44121628</v>
      </c>
      <c r="B742" s="9" t="s">
        <v>83</v>
      </c>
      <c r="C742" s="33" t="s">
        <v>55</v>
      </c>
      <c r="D742" s="8">
        <v>750</v>
      </c>
      <c r="E742" s="11">
        <v>73.33</v>
      </c>
      <c r="F742" s="10">
        <v>54997.5</v>
      </c>
    </row>
    <row r="743" spans="1:6" ht="22.5" x14ac:dyDescent="0.25">
      <c r="A743" s="34">
        <v>44122104</v>
      </c>
      <c r="B743" s="9" t="s">
        <v>59</v>
      </c>
      <c r="C743" s="8" t="s">
        <v>49</v>
      </c>
      <c r="D743" s="8">
        <v>3000</v>
      </c>
      <c r="E743" s="11">
        <v>96</v>
      </c>
      <c r="F743" s="10">
        <v>288000</v>
      </c>
    </row>
    <row r="744" spans="1:6" ht="22.5" x14ac:dyDescent="0.25">
      <c r="A744" s="34">
        <v>44122104</v>
      </c>
      <c r="B744" s="9" t="s">
        <v>59</v>
      </c>
      <c r="C744" s="33" t="s">
        <v>49</v>
      </c>
      <c r="D744" s="8">
        <v>3000</v>
      </c>
      <c r="E744" s="11">
        <v>104</v>
      </c>
      <c r="F744" s="10">
        <v>312000</v>
      </c>
    </row>
    <row r="745" spans="1:6" ht="33.75" x14ac:dyDescent="0.25">
      <c r="A745" s="34">
        <v>44122105</v>
      </c>
      <c r="B745" s="9" t="s">
        <v>62</v>
      </c>
      <c r="C745" s="33" t="s">
        <v>49</v>
      </c>
      <c r="D745" s="8">
        <v>750</v>
      </c>
      <c r="E745" s="11">
        <v>466.67</v>
      </c>
      <c r="F745" s="10">
        <v>350002.5</v>
      </c>
    </row>
    <row r="746" spans="1:6" ht="33.75" x14ac:dyDescent="0.25">
      <c r="A746" s="34">
        <v>44122105</v>
      </c>
      <c r="B746" s="9" t="s">
        <v>62</v>
      </c>
      <c r="C746" s="33" t="s">
        <v>49</v>
      </c>
      <c r="D746" s="8">
        <v>2000</v>
      </c>
      <c r="E746" s="11">
        <v>175</v>
      </c>
      <c r="F746" s="10">
        <v>350000</v>
      </c>
    </row>
    <row r="747" spans="1:6" ht="33.75" x14ac:dyDescent="0.25">
      <c r="A747" s="34">
        <v>44122105</v>
      </c>
      <c r="B747" s="9" t="s">
        <v>62</v>
      </c>
      <c r="C747" s="33" t="s">
        <v>49</v>
      </c>
      <c r="D747" s="8">
        <v>3500</v>
      </c>
      <c r="E747" s="11">
        <v>102.85</v>
      </c>
      <c r="F747" s="10">
        <v>359975</v>
      </c>
    </row>
    <row r="748" spans="1:6" x14ac:dyDescent="0.25">
      <c r="A748" s="34">
        <v>31201610</v>
      </c>
      <c r="B748" s="9" t="s">
        <v>229</v>
      </c>
      <c r="C748" s="33" t="s">
        <v>55</v>
      </c>
      <c r="D748" s="8">
        <v>100</v>
      </c>
      <c r="E748" s="11">
        <v>700</v>
      </c>
      <c r="F748" s="10">
        <v>70000</v>
      </c>
    </row>
    <row r="749" spans="1:6" x14ac:dyDescent="0.25">
      <c r="A749" s="34">
        <v>31201610</v>
      </c>
      <c r="B749" s="9" t="s">
        <v>229</v>
      </c>
      <c r="C749" s="33" t="s">
        <v>55</v>
      </c>
      <c r="D749" s="8">
        <v>100</v>
      </c>
      <c r="E749" s="11">
        <v>550</v>
      </c>
      <c r="F749" s="10">
        <v>55000</v>
      </c>
    </row>
    <row r="750" spans="1:6" ht="22.5" x14ac:dyDescent="0.25">
      <c r="A750" s="34">
        <v>14111530</v>
      </c>
      <c r="B750" s="9" t="s">
        <v>77</v>
      </c>
      <c r="C750" s="33" t="s">
        <v>55</v>
      </c>
      <c r="D750" s="8">
        <v>2500</v>
      </c>
      <c r="E750" s="11">
        <v>96</v>
      </c>
      <c r="F750" s="10">
        <v>240000</v>
      </c>
    </row>
    <row r="751" spans="1:6" ht="22.5" x14ac:dyDescent="0.25">
      <c r="A751" s="34">
        <v>14111530</v>
      </c>
      <c r="B751" s="9" t="s">
        <v>77</v>
      </c>
      <c r="C751" s="33" t="s">
        <v>55</v>
      </c>
      <c r="D751" s="8">
        <v>3000</v>
      </c>
      <c r="E751" s="11">
        <v>80</v>
      </c>
      <c r="F751" s="10">
        <v>240000</v>
      </c>
    </row>
    <row r="752" spans="1:6" ht="22.5" x14ac:dyDescent="0.25">
      <c r="A752" s="34">
        <v>14111530</v>
      </c>
      <c r="B752" s="9" t="s">
        <v>77</v>
      </c>
      <c r="C752" s="33" t="s">
        <v>55</v>
      </c>
      <c r="D752" s="8">
        <v>3000</v>
      </c>
      <c r="E752" s="11">
        <v>73.33</v>
      </c>
      <c r="F752" s="10">
        <v>219990</v>
      </c>
    </row>
    <row r="753" spans="1:6" ht="45" x14ac:dyDescent="0.25">
      <c r="A753" s="34">
        <v>60121702</v>
      </c>
      <c r="B753" s="9" t="s">
        <v>230</v>
      </c>
      <c r="C753" s="33" t="s">
        <v>55</v>
      </c>
      <c r="D753" s="8">
        <v>20</v>
      </c>
      <c r="E753" s="11">
        <v>6000</v>
      </c>
      <c r="F753" s="10">
        <v>120000</v>
      </c>
    </row>
    <row r="754" spans="1:6" ht="22.5" x14ac:dyDescent="0.25">
      <c r="A754" s="34">
        <v>44122106</v>
      </c>
      <c r="B754" s="9" t="s">
        <v>231</v>
      </c>
      <c r="C754" s="33" t="s">
        <v>55</v>
      </c>
      <c r="D754" s="8">
        <v>350</v>
      </c>
      <c r="E754" s="11">
        <v>228.57</v>
      </c>
      <c r="F754" s="10">
        <v>79999.5</v>
      </c>
    </row>
    <row r="755" spans="1:6" ht="22.5" x14ac:dyDescent="0.25">
      <c r="A755" s="34">
        <v>44101713</v>
      </c>
      <c r="B755" s="9" t="s">
        <v>232</v>
      </c>
      <c r="C755" s="33" t="s">
        <v>55</v>
      </c>
      <c r="D755" s="8">
        <v>100</v>
      </c>
      <c r="E755" s="11">
        <v>750</v>
      </c>
      <c r="F755" s="10">
        <v>75000</v>
      </c>
    </row>
    <row r="756" spans="1:6" x14ac:dyDescent="0.25">
      <c r="A756" s="34">
        <v>44122101</v>
      </c>
      <c r="B756" s="9" t="s">
        <v>233</v>
      </c>
      <c r="C756" s="33" t="s">
        <v>49</v>
      </c>
      <c r="D756" s="8">
        <v>2500</v>
      </c>
      <c r="E756" s="11">
        <v>132</v>
      </c>
      <c r="F756" s="10">
        <v>330000</v>
      </c>
    </row>
    <row r="757" spans="1:6" x14ac:dyDescent="0.25">
      <c r="A757" s="34">
        <v>44122101</v>
      </c>
      <c r="B757" s="9" t="s">
        <v>233</v>
      </c>
      <c r="C757" s="33" t="s">
        <v>49</v>
      </c>
      <c r="D757" s="8">
        <v>2500</v>
      </c>
      <c r="E757" s="11">
        <v>120</v>
      </c>
      <c r="F757" s="10">
        <v>300000</v>
      </c>
    </row>
    <row r="758" spans="1:6" x14ac:dyDescent="0.25">
      <c r="A758" s="34">
        <v>44121804</v>
      </c>
      <c r="B758" s="9" t="s">
        <v>228</v>
      </c>
      <c r="C758" s="33" t="s">
        <v>55</v>
      </c>
      <c r="D758" s="8">
        <v>20</v>
      </c>
      <c r="E758" s="11">
        <v>500</v>
      </c>
      <c r="F758" s="10">
        <v>10000</v>
      </c>
    </row>
    <row r="759" spans="1:6" ht="22.5" x14ac:dyDescent="0.25">
      <c r="A759" s="34">
        <v>44121802</v>
      </c>
      <c r="B759" s="9" t="s">
        <v>82</v>
      </c>
      <c r="C759" s="33" t="s">
        <v>55</v>
      </c>
      <c r="D759" s="8">
        <v>25</v>
      </c>
      <c r="E759" s="11">
        <v>400</v>
      </c>
      <c r="F759" s="10">
        <v>10000</v>
      </c>
    </row>
    <row r="760" spans="1:6" ht="22.5" x14ac:dyDescent="0.25">
      <c r="A760" s="34">
        <v>31201512</v>
      </c>
      <c r="B760" s="9" t="s">
        <v>68</v>
      </c>
      <c r="C760" s="33" t="s">
        <v>55</v>
      </c>
      <c r="D760" s="8">
        <v>2000</v>
      </c>
      <c r="E760" s="11">
        <v>100</v>
      </c>
      <c r="F760" s="10">
        <v>200000</v>
      </c>
    </row>
    <row r="761" spans="1:6" ht="22.5" x14ac:dyDescent="0.25">
      <c r="A761" s="34">
        <v>31201512</v>
      </c>
      <c r="B761" s="9" t="s">
        <v>68</v>
      </c>
      <c r="C761" s="33" t="s">
        <v>55</v>
      </c>
      <c r="D761" s="8">
        <v>1000</v>
      </c>
      <c r="E761" s="11">
        <v>150</v>
      </c>
      <c r="F761" s="10">
        <v>150000</v>
      </c>
    </row>
    <row r="762" spans="1:6" ht="22.5" x14ac:dyDescent="0.25">
      <c r="A762" s="34">
        <v>44121635</v>
      </c>
      <c r="B762" s="9" t="s">
        <v>86</v>
      </c>
      <c r="C762" s="33" t="s">
        <v>55</v>
      </c>
      <c r="D762" s="8">
        <v>250</v>
      </c>
      <c r="E762" s="11">
        <v>320</v>
      </c>
      <c r="F762" s="10">
        <v>80000</v>
      </c>
    </row>
    <row r="763" spans="1:6" ht="22.5" x14ac:dyDescent="0.25">
      <c r="A763" s="34">
        <v>44121635</v>
      </c>
      <c r="B763" s="9" t="s">
        <v>86</v>
      </c>
      <c r="C763" s="33" t="s">
        <v>55</v>
      </c>
      <c r="D763" s="8">
        <v>20</v>
      </c>
      <c r="E763" s="11">
        <v>4000</v>
      </c>
      <c r="F763" s="10">
        <v>80000</v>
      </c>
    </row>
    <row r="764" spans="1:6" ht="33.75" x14ac:dyDescent="0.25">
      <c r="A764" s="34">
        <v>44121613</v>
      </c>
      <c r="B764" s="9" t="s">
        <v>234</v>
      </c>
      <c r="C764" s="33" t="s">
        <v>55</v>
      </c>
      <c r="D764" s="8">
        <v>200</v>
      </c>
      <c r="E764" s="11">
        <v>700</v>
      </c>
      <c r="F764" s="10">
        <v>140000</v>
      </c>
    </row>
    <row r="765" spans="1:6" ht="33.75" x14ac:dyDescent="0.25">
      <c r="A765" s="34">
        <v>44121613</v>
      </c>
      <c r="B765" s="9" t="s">
        <v>234</v>
      </c>
      <c r="C765" s="33" t="s">
        <v>55</v>
      </c>
      <c r="D765" s="8">
        <v>500</v>
      </c>
      <c r="E765" s="11">
        <v>70</v>
      </c>
      <c r="F765" s="10">
        <v>35000</v>
      </c>
    </row>
    <row r="766" spans="1:6" x14ac:dyDescent="0.25">
      <c r="A766" s="34">
        <v>44121615</v>
      </c>
      <c r="B766" s="9" t="s">
        <v>235</v>
      </c>
      <c r="C766" s="33" t="s">
        <v>55</v>
      </c>
      <c r="D766" s="8">
        <v>500</v>
      </c>
      <c r="E766" s="11">
        <v>300</v>
      </c>
      <c r="F766" s="10">
        <v>150000</v>
      </c>
    </row>
    <row r="767" spans="1:6" x14ac:dyDescent="0.25">
      <c r="A767" s="34">
        <v>44122107</v>
      </c>
      <c r="B767" s="9" t="s">
        <v>48</v>
      </c>
      <c r="C767" s="33" t="s">
        <v>49</v>
      </c>
      <c r="D767" s="8">
        <v>2500</v>
      </c>
      <c r="E767" s="11">
        <v>80</v>
      </c>
      <c r="F767" s="10">
        <v>200000</v>
      </c>
    </row>
    <row r="768" spans="1:6" x14ac:dyDescent="0.25">
      <c r="A768" s="34">
        <v>44122107</v>
      </c>
      <c r="B768" s="9" t="s">
        <v>48</v>
      </c>
      <c r="C768" s="33" t="s">
        <v>49</v>
      </c>
      <c r="D768" s="8">
        <v>100</v>
      </c>
      <c r="E768" s="11">
        <v>150</v>
      </c>
      <c r="F768" s="10">
        <v>15000</v>
      </c>
    </row>
    <row r="769" spans="1:6" ht="22.5" x14ac:dyDescent="0.25">
      <c r="A769" s="34">
        <v>27112121</v>
      </c>
      <c r="B769" s="9" t="s">
        <v>236</v>
      </c>
      <c r="C769" s="33" t="s">
        <v>49</v>
      </c>
      <c r="D769" s="8">
        <v>20</v>
      </c>
      <c r="E769" s="11">
        <v>200</v>
      </c>
      <c r="F769" s="10">
        <v>4000</v>
      </c>
    </row>
    <row r="770" spans="1:6" ht="22.5" x14ac:dyDescent="0.25">
      <c r="A770" s="34">
        <v>44121619</v>
      </c>
      <c r="B770" s="9" t="s">
        <v>237</v>
      </c>
      <c r="C770" s="33" t="s">
        <v>55</v>
      </c>
      <c r="D770" s="8">
        <v>25</v>
      </c>
      <c r="E770" s="11">
        <v>1500</v>
      </c>
      <c r="F770" s="10">
        <v>37500</v>
      </c>
    </row>
    <row r="771" spans="1:6" x14ac:dyDescent="0.25">
      <c r="A771" s="34">
        <v>44121618</v>
      </c>
      <c r="B771" s="9" t="s">
        <v>58</v>
      </c>
      <c r="C771" s="33" t="s">
        <v>55</v>
      </c>
      <c r="D771" s="8">
        <v>500</v>
      </c>
      <c r="E771" s="11">
        <v>20</v>
      </c>
      <c r="F771" s="10">
        <v>10000</v>
      </c>
    </row>
    <row r="772" spans="1:6" ht="33.75" x14ac:dyDescent="0.25">
      <c r="A772" s="3">
        <v>44111509</v>
      </c>
      <c r="B772" s="9" t="s">
        <v>238</v>
      </c>
      <c r="C772" s="33" t="s">
        <v>55</v>
      </c>
      <c r="D772" s="8">
        <v>200</v>
      </c>
      <c r="E772" s="11">
        <v>145</v>
      </c>
      <c r="F772" s="10">
        <v>29000</v>
      </c>
    </row>
    <row r="773" spans="1:6" x14ac:dyDescent="0.25">
      <c r="A773" s="34">
        <v>44122012</v>
      </c>
      <c r="B773" s="9" t="s">
        <v>56</v>
      </c>
      <c r="C773" s="33" t="s">
        <v>55</v>
      </c>
      <c r="D773" s="8">
        <v>400</v>
      </c>
      <c r="E773" s="11">
        <v>195</v>
      </c>
      <c r="F773" s="10">
        <v>78000</v>
      </c>
    </row>
    <row r="774" spans="1:6" ht="33.75" x14ac:dyDescent="0.25">
      <c r="A774" s="34">
        <v>27111503</v>
      </c>
      <c r="B774" s="9" t="s">
        <v>239</v>
      </c>
      <c r="C774" s="33" t="s">
        <v>55</v>
      </c>
      <c r="D774" s="8">
        <v>40</v>
      </c>
      <c r="E774" s="11">
        <v>80</v>
      </c>
      <c r="F774" s="10">
        <v>3200</v>
      </c>
    </row>
    <row r="775" spans="1:6" ht="33.75" x14ac:dyDescent="0.25">
      <c r="A775" s="34">
        <v>43211802</v>
      </c>
      <c r="B775" s="9" t="s">
        <v>240</v>
      </c>
      <c r="C775" s="33" t="s">
        <v>55</v>
      </c>
      <c r="D775" s="8">
        <v>300</v>
      </c>
      <c r="E775" s="11">
        <v>370</v>
      </c>
      <c r="F775" s="10">
        <v>111000</v>
      </c>
    </row>
    <row r="776" spans="1:6" ht="33.75" x14ac:dyDescent="0.25">
      <c r="A776" s="34">
        <v>44101602</v>
      </c>
      <c r="B776" s="9" t="s">
        <v>241</v>
      </c>
      <c r="C776" s="33" t="s">
        <v>55</v>
      </c>
      <c r="D776" s="8">
        <v>300</v>
      </c>
      <c r="E776" s="11">
        <v>1200</v>
      </c>
      <c r="F776" s="10">
        <v>360000</v>
      </c>
    </row>
    <row r="777" spans="1:6" ht="22.5" x14ac:dyDescent="0.25">
      <c r="A777" s="34">
        <v>44122002</v>
      </c>
      <c r="B777" s="9" t="s">
        <v>242</v>
      </c>
      <c r="C777" s="33" t="s">
        <v>74</v>
      </c>
      <c r="D777" s="8">
        <v>800</v>
      </c>
      <c r="E777" s="11">
        <v>37.5</v>
      </c>
      <c r="F777" s="10">
        <v>30000</v>
      </c>
    </row>
    <row r="778" spans="1:6" x14ac:dyDescent="0.25">
      <c r="A778" s="34">
        <v>44122010</v>
      </c>
      <c r="B778" s="9" t="s">
        <v>73</v>
      </c>
      <c r="C778" s="33" t="s">
        <v>74</v>
      </c>
      <c r="D778" s="8">
        <v>500</v>
      </c>
      <c r="E778" s="11">
        <v>50</v>
      </c>
      <c r="F778" s="10">
        <v>25000</v>
      </c>
    </row>
    <row r="779" spans="1:6" x14ac:dyDescent="0.25">
      <c r="A779" s="34">
        <v>44122003</v>
      </c>
      <c r="B779" s="9" t="s">
        <v>54</v>
      </c>
      <c r="C779" s="33" t="s">
        <v>55</v>
      </c>
      <c r="D779" s="8">
        <v>500</v>
      </c>
      <c r="E779" s="11">
        <v>300</v>
      </c>
      <c r="F779" s="10">
        <v>150000</v>
      </c>
    </row>
    <row r="780" spans="1:6" x14ac:dyDescent="0.25">
      <c r="A780" s="34">
        <v>44122003</v>
      </c>
      <c r="B780" s="9" t="s">
        <v>54</v>
      </c>
      <c r="C780" s="33" t="s">
        <v>55</v>
      </c>
      <c r="D780" s="8">
        <v>600</v>
      </c>
      <c r="E780" s="11">
        <v>700</v>
      </c>
      <c r="F780" s="10">
        <v>420000</v>
      </c>
    </row>
    <row r="781" spans="1:6" x14ac:dyDescent="0.25">
      <c r="A781" s="34">
        <v>44122003</v>
      </c>
      <c r="B781" s="9" t="s">
        <v>54</v>
      </c>
      <c r="C781" s="33" t="s">
        <v>55</v>
      </c>
      <c r="D781" s="8">
        <v>600</v>
      </c>
      <c r="E781" s="11">
        <v>780</v>
      </c>
      <c r="F781" s="10">
        <v>468000</v>
      </c>
    </row>
    <row r="782" spans="1:6" x14ac:dyDescent="0.25">
      <c r="A782" s="34">
        <v>44121503</v>
      </c>
      <c r="B782" s="9" t="s">
        <v>75</v>
      </c>
      <c r="C782" s="33" t="s">
        <v>49</v>
      </c>
      <c r="D782" s="8">
        <v>10</v>
      </c>
      <c r="E782" s="11">
        <v>150</v>
      </c>
      <c r="F782" s="10">
        <v>1500</v>
      </c>
    </row>
    <row r="783" spans="1:6" x14ac:dyDescent="0.25">
      <c r="A783" s="34">
        <v>44122011</v>
      </c>
      <c r="B783" s="9" t="s">
        <v>52</v>
      </c>
      <c r="C783" s="33" t="s">
        <v>49</v>
      </c>
      <c r="D783" s="8">
        <v>200</v>
      </c>
      <c r="E783" s="11">
        <v>350</v>
      </c>
      <c r="F783" s="10">
        <v>70000</v>
      </c>
    </row>
    <row r="784" spans="1:6" x14ac:dyDescent="0.25">
      <c r="A784" s="34">
        <v>44122011</v>
      </c>
      <c r="B784" s="9" t="s">
        <v>52</v>
      </c>
      <c r="C784" s="33" t="s">
        <v>55</v>
      </c>
      <c r="D784" s="8">
        <v>350</v>
      </c>
      <c r="E784" s="11">
        <v>428.57</v>
      </c>
      <c r="F784" s="10">
        <v>149999.5</v>
      </c>
    </row>
    <row r="785" spans="1:6" x14ac:dyDescent="0.25">
      <c r="A785" s="34">
        <v>44122011</v>
      </c>
      <c r="B785" s="9" t="s">
        <v>52</v>
      </c>
      <c r="C785" s="33" t="s">
        <v>49</v>
      </c>
      <c r="D785" s="8">
        <v>50</v>
      </c>
      <c r="E785" s="11">
        <v>1700</v>
      </c>
      <c r="F785" s="10">
        <v>85000</v>
      </c>
    </row>
    <row r="786" spans="1:6" x14ac:dyDescent="0.25">
      <c r="A786" s="34">
        <v>44122011</v>
      </c>
      <c r="B786" s="9" t="s">
        <v>52</v>
      </c>
      <c r="C786" s="33" t="s">
        <v>49</v>
      </c>
      <c r="D786" s="8">
        <v>15</v>
      </c>
      <c r="E786" s="11">
        <v>6666.67</v>
      </c>
      <c r="F786" s="10">
        <v>100000.05</v>
      </c>
    </row>
    <row r="787" spans="1:6" x14ac:dyDescent="0.25">
      <c r="A787" s="34">
        <v>44122011</v>
      </c>
      <c r="B787" s="9" t="s">
        <v>52</v>
      </c>
      <c r="C787" s="33" t="s">
        <v>49</v>
      </c>
      <c r="D787" s="8">
        <v>300</v>
      </c>
      <c r="E787" s="11">
        <v>316.67</v>
      </c>
      <c r="F787" s="10">
        <v>95001</v>
      </c>
    </row>
    <row r="788" spans="1:6" ht="33.75" x14ac:dyDescent="0.25">
      <c r="A788" s="34">
        <v>14111812</v>
      </c>
      <c r="B788" s="9" t="s">
        <v>243</v>
      </c>
      <c r="C788" s="33" t="s">
        <v>55</v>
      </c>
      <c r="D788" s="8">
        <v>1000</v>
      </c>
      <c r="E788" s="11">
        <v>250</v>
      </c>
      <c r="F788" s="10">
        <v>250000</v>
      </c>
    </row>
    <row r="789" spans="1:6" ht="33.75" x14ac:dyDescent="0.25">
      <c r="A789" s="34">
        <v>44112001</v>
      </c>
      <c r="B789" s="9" t="s">
        <v>244</v>
      </c>
      <c r="C789" s="33" t="s">
        <v>55</v>
      </c>
      <c r="D789" s="8">
        <v>1000</v>
      </c>
      <c r="E789" s="11">
        <v>70</v>
      </c>
      <c r="F789" s="10">
        <v>70000</v>
      </c>
    </row>
    <row r="790" spans="1:6" ht="33.75" x14ac:dyDescent="0.25">
      <c r="A790" s="34">
        <v>44112001</v>
      </c>
      <c r="B790" s="9" t="s">
        <v>244</v>
      </c>
      <c r="C790" s="33" t="s">
        <v>55</v>
      </c>
      <c r="D790" s="8">
        <v>1000</v>
      </c>
      <c r="E790" s="11">
        <v>50</v>
      </c>
      <c r="F790" s="10">
        <v>50000</v>
      </c>
    </row>
    <row r="791" spans="1:6" x14ac:dyDescent="0.25">
      <c r="A791" s="34">
        <v>44121503</v>
      </c>
      <c r="B791" s="9" t="s">
        <v>75</v>
      </c>
      <c r="C791" s="33" t="s">
        <v>49</v>
      </c>
      <c r="D791" s="8">
        <v>100</v>
      </c>
      <c r="E791" s="11">
        <v>2000</v>
      </c>
      <c r="F791" s="10">
        <v>200000</v>
      </c>
    </row>
    <row r="792" spans="1:6" x14ac:dyDescent="0.25">
      <c r="A792" s="34">
        <v>44121503</v>
      </c>
      <c r="B792" s="9" t="s">
        <v>75</v>
      </c>
      <c r="C792" s="33" t="s">
        <v>49</v>
      </c>
      <c r="D792" s="8">
        <v>20</v>
      </c>
      <c r="E792" s="11">
        <v>12500</v>
      </c>
      <c r="F792" s="10">
        <v>250000</v>
      </c>
    </row>
    <row r="793" spans="1:6" x14ac:dyDescent="0.25">
      <c r="A793" s="34">
        <v>44122011</v>
      </c>
      <c r="B793" s="9" t="s">
        <v>52</v>
      </c>
      <c r="C793" s="33" t="s">
        <v>49</v>
      </c>
      <c r="D793" s="8">
        <v>100</v>
      </c>
      <c r="E793" s="11">
        <v>1900</v>
      </c>
      <c r="F793" s="10">
        <v>190000</v>
      </c>
    </row>
    <row r="794" spans="1:6" x14ac:dyDescent="0.25">
      <c r="A794" s="2"/>
      <c r="B794" s="2"/>
      <c r="C794" s="2"/>
      <c r="D794" s="2"/>
      <c r="E794" s="13" t="s">
        <v>87</v>
      </c>
      <c r="F794" s="14">
        <v>8494486.0500000007</v>
      </c>
    </row>
    <row r="795" spans="1:6" ht="15.75" thickBot="1" x14ac:dyDescent="0.3">
      <c r="A795" s="1"/>
      <c r="B795" s="1"/>
      <c r="C795" s="1"/>
      <c r="D795" s="1"/>
      <c r="E795" s="1"/>
      <c r="F795" s="1"/>
    </row>
    <row r="796" spans="1:6" ht="34.5" thickBot="1" x14ac:dyDescent="0.3">
      <c r="A796" s="4" t="s">
        <v>19</v>
      </c>
      <c r="B796" s="4" t="s">
        <v>20</v>
      </c>
      <c r="C796" s="4" t="s">
        <v>21</v>
      </c>
      <c r="D796" s="4" t="s">
        <v>22</v>
      </c>
      <c r="E796" s="4" t="s">
        <v>23</v>
      </c>
      <c r="F796" s="4" t="s">
        <v>24</v>
      </c>
    </row>
    <row r="797" spans="1:6" ht="15.75" thickBot="1" x14ac:dyDescent="0.3">
      <c r="A797" s="32" t="s">
        <v>245</v>
      </c>
      <c r="B797" s="32" t="s">
        <v>246</v>
      </c>
      <c r="C797" s="32" t="s">
        <v>27</v>
      </c>
      <c r="D797" s="6" t="s">
        <v>247</v>
      </c>
      <c r="E797" s="32" t="s">
        <v>29</v>
      </c>
      <c r="F797" s="6"/>
    </row>
    <row r="798" spans="1:6" ht="15.75" thickBot="1" x14ac:dyDescent="0.3">
      <c r="A798" s="35" t="s">
        <v>31</v>
      </c>
      <c r="B798" s="7" t="s">
        <v>32</v>
      </c>
      <c r="C798" s="15">
        <v>45323</v>
      </c>
      <c r="D798" s="35" t="s">
        <v>33</v>
      </c>
      <c r="E798" s="7" t="s">
        <v>34</v>
      </c>
      <c r="F798" s="6"/>
    </row>
    <row r="799" spans="1:6" ht="15.75" thickBot="1" x14ac:dyDescent="0.3">
      <c r="A799" s="36"/>
      <c r="B799" s="7" t="s">
        <v>36</v>
      </c>
      <c r="C799" s="5">
        <v>1</v>
      </c>
      <c r="D799" s="36"/>
      <c r="E799" s="7" t="s">
        <v>37</v>
      </c>
      <c r="F799" s="6"/>
    </row>
    <row r="800" spans="1:6" ht="15.75" thickBot="1" x14ac:dyDescent="0.3">
      <c r="A800" s="36"/>
      <c r="B800" s="7" t="s">
        <v>39</v>
      </c>
      <c r="C800" s="15">
        <v>45381</v>
      </c>
      <c r="D800" s="36"/>
      <c r="E800" s="7" t="s">
        <v>40</v>
      </c>
      <c r="F800" s="6"/>
    </row>
    <row r="801" spans="1:6" ht="15.75" thickBot="1" x14ac:dyDescent="0.3">
      <c r="A801" s="36"/>
      <c r="B801" s="7" t="s">
        <v>36</v>
      </c>
      <c r="C801" s="5">
        <v>1</v>
      </c>
      <c r="D801" s="36"/>
      <c r="E801" s="7" t="s">
        <v>41</v>
      </c>
      <c r="F801" s="6"/>
    </row>
    <row r="802" spans="1:6" ht="15.75" thickBot="1" x14ac:dyDescent="0.3">
      <c r="A802" s="2"/>
      <c r="B802" s="2"/>
      <c r="C802" s="2"/>
      <c r="D802" s="2"/>
      <c r="E802" s="2"/>
      <c r="F802" s="2"/>
    </row>
    <row r="803" spans="1:6" ht="15.75" thickBot="1" x14ac:dyDescent="0.3">
      <c r="A803" s="12" t="s">
        <v>42</v>
      </c>
      <c r="B803" s="12" t="s">
        <v>43</v>
      </c>
      <c r="C803" s="12" t="s">
        <v>44</v>
      </c>
      <c r="D803" s="12" t="s">
        <v>45</v>
      </c>
      <c r="E803" s="12" t="s">
        <v>46</v>
      </c>
      <c r="F803" s="12" t="s">
        <v>47</v>
      </c>
    </row>
    <row r="804" spans="1:6" ht="22.5" x14ac:dyDescent="0.25">
      <c r="A804" s="8">
        <v>46101801</v>
      </c>
      <c r="B804" s="9" t="s">
        <v>248</v>
      </c>
      <c r="C804" s="8" t="s">
        <v>55</v>
      </c>
      <c r="D804" s="8">
        <v>1000</v>
      </c>
      <c r="E804" s="11">
        <v>1003</v>
      </c>
      <c r="F804" s="10">
        <v>1003000</v>
      </c>
    </row>
    <row r="805" spans="1:6" ht="22.5" x14ac:dyDescent="0.25">
      <c r="A805" s="8">
        <v>46101801</v>
      </c>
      <c r="B805" s="9" t="s">
        <v>248</v>
      </c>
      <c r="C805" s="33" t="s">
        <v>55</v>
      </c>
      <c r="D805" s="8">
        <v>1000</v>
      </c>
      <c r="E805" s="11">
        <v>708</v>
      </c>
      <c r="F805" s="10">
        <v>708000</v>
      </c>
    </row>
    <row r="806" spans="1:6" ht="22.5" x14ac:dyDescent="0.25">
      <c r="A806" s="8">
        <v>53121705</v>
      </c>
      <c r="B806" s="9" t="s">
        <v>249</v>
      </c>
      <c r="C806" s="33" t="s">
        <v>55</v>
      </c>
      <c r="D806" s="8">
        <v>1000</v>
      </c>
      <c r="E806" s="11">
        <v>413</v>
      </c>
      <c r="F806" s="10">
        <v>413000</v>
      </c>
    </row>
    <row r="807" spans="1:6" ht="22.5" x14ac:dyDescent="0.25">
      <c r="A807" s="8">
        <v>53121705</v>
      </c>
      <c r="B807" s="9" t="s">
        <v>249</v>
      </c>
      <c r="C807" s="33" t="s">
        <v>55</v>
      </c>
      <c r="D807" s="8">
        <v>1000</v>
      </c>
      <c r="E807" s="11">
        <v>1416</v>
      </c>
      <c r="F807" s="10">
        <v>1416000</v>
      </c>
    </row>
    <row r="808" spans="1:6" ht="45" x14ac:dyDescent="0.25">
      <c r="A808" s="8">
        <v>46171515</v>
      </c>
      <c r="B808" s="9" t="s">
        <v>250</v>
      </c>
      <c r="C808" s="33" t="s">
        <v>55</v>
      </c>
      <c r="D808" s="8">
        <v>1000</v>
      </c>
      <c r="E808" s="11">
        <v>236</v>
      </c>
      <c r="F808" s="10">
        <v>236000</v>
      </c>
    </row>
    <row r="809" spans="1:6" x14ac:dyDescent="0.25">
      <c r="A809" s="8">
        <v>46151601</v>
      </c>
      <c r="B809" s="9" t="s">
        <v>251</v>
      </c>
      <c r="C809" s="33" t="s">
        <v>55</v>
      </c>
      <c r="D809" s="8">
        <v>1000</v>
      </c>
      <c r="E809" s="11">
        <v>767</v>
      </c>
      <c r="F809" s="10">
        <v>767000</v>
      </c>
    </row>
    <row r="810" spans="1:6" ht="22.5" x14ac:dyDescent="0.25">
      <c r="A810" s="8">
        <v>53102501</v>
      </c>
      <c r="B810" s="9" t="s">
        <v>252</v>
      </c>
      <c r="C810" s="33" t="s">
        <v>55</v>
      </c>
      <c r="D810" s="8">
        <v>1000</v>
      </c>
      <c r="E810" s="11">
        <v>1298</v>
      </c>
      <c r="F810" s="10">
        <v>1298000</v>
      </c>
    </row>
    <row r="811" spans="1:6" x14ac:dyDescent="0.25">
      <c r="A811" s="8">
        <v>46151601</v>
      </c>
      <c r="B811" s="9" t="s">
        <v>251</v>
      </c>
      <c r="C811" s="33" t="s">
        <v>55</v>
      </c>
      <c r="D811" s="8">
        <v>1000</v>
      </c>
      <c r="E811" s="11">
        <v>1711</v>
      </c>
      <c r="F811" s="10">
        <v>1711000</v>
      </c>
    </row>
    <row r="812" spans="1:6" ht="22.5" x14ac:dyDescent="0.25">
      <c r="A812" s="8">
        <v>46182501</v>
      </c>
      <c r="B812" s="9" t="s">
        <v>253</v>
      </c>
      <c r="C812" s="33" t="s">
        <v>55</v>
      </c>
      <c r="D812" s="8">
        <v>1000</v>
      </c>
      <c r="E812" s="11">
        <v>1003</v>
      </c>
      <c r="F812" s="10">
        <v>1003000</v>
      </c>
    </row>
    <row r="813" spans="1:6" x14ac:dyDescent="0.25">
      <c r="A813" s="8">
        <v>46101504</v>
      </c>
      <c r="B813" s="9" t="s">
        <v>254</v>
      </c>
      <c r="C813" s="33" t="s">
        <v>55</v>
      </c>
      <c r="D813" s="8">
        <v>1000</v>
      </c>
      <c r="E813" s="11">
        <v>11210</v>
      </c>
      <c r="F813" s="10">
        <v>11210000</v>
      </c>
    </row>
    <row r="814" spans="1:6" ht="22.5" x14ac:dyDescent="0.25">
      <c r="A814" s="8">
        <v>10141611</v>
      </c>
      <c r="B814" s="9" t="s">
        <v>255</v>
      </c>
      <c r="C814" s="33" t="s">
        <v>55</v>
      </c>
      <c r="D814" s="8">
        <v>1000</v>
      </c>
      <c r="E814" s="11">
        <v>295</v>
      </c>
      <c r="F814" s="10">
        <v>295000</v>
      </c>
    </row>
    <row r="815" spans="1:6" ht="22.5" x14ac:dyDescent="0.25">
      <c r="A815" s="8">
        <v>53121705</v>
      </c>
      <c r="B815" s="9" t="s">
        <v>249</v>
      </c>
      <c r="C815" s="33" t="s">
        <v>55</v>
      </c>
      <c r="D815" s="8">
        <v>1000</v>
      </c>
      <c r="E815" s="11">
        <v>413</v>
      </c>
      <c r="F815" s="10">
        <v>413000</v>
      </c>
    </row>
    <row r="816" spans="1:6" ht="22.5" x14ac:dyDescent="0.25">
      <c r="A816" s="8">
        <v>53121705</v>
      </c>
      <c r="B816" s="9" t="s">
        <v>249</v>
      </c>
      <c r="C816" s="33" t="s">
        <v>55</v>
      </c>
      <c r="D816" s="8">
        <v>1000</v>
      </c>
      <c r="E816" s="11">
        <v>531</v>
      </c>
      <c r="F816" s="10">
        <v>531000</v>
      </c>
    </row>
    <row r="817" spans="1:6" x14ac:dyDescent="0.25">
      <c r="A817" s="2"/>
      <c r="B817" s="2"/>
      <c r="C817" s="2"/>
      <c r="D817" s="2"/>
      <c r="E817" s="13" t="s">
        <v>87</v>
      </c>
      <c r="F817" s="14">
        <v>21004000</v>
      </c>
    </row>
    <row r="818" spans="1:6" ht="15.75" thickBot="1" x14ac:dyDescent="0.3">
      <c r="A818" s="1"/>
      <c r="B818" s="1"/>
      <c r="C818" s="1"/>
      <c r="D818" s="1"/>
      <c r="E818" s="1"/>
      <c r="F818" s="1"/>
    </row>
    <row r="819" spans="1:6" ht="34.5" thickBot="1" x14ac:dyDescent="0.3">
      <c r="A819" s="4" t="s">
        <v>19</v>
      </c>
      <c r="B819" s="4" t="s">
        <v>20</v>
      </c>
      <c r="C819" s="4" t="s">
        <v>21</v>
      </c>
      <c r="D819" s="4" t="s">
        <v>22</v>
      </c>
      <c r="E819" s="4" t="s">
        <v>23</v>
      </c>
      <c r="F819" s="4" t="s">
        <v>24</v>
      </c>
    </row>
    <row r="820" spans="1:6" ht="15.75" thickBot="1" x14ac:dyDescent="0.3">
      <c r="A820" s="32" t="s">
        <v>256</v>
      </c>
      <c r="B820" s="32" t="s">
        <v>257</v>
      </c>
      <c r="C820" s="32" t="s">
        <v>129</v>
      </c>
      <c r="D820" s="6" t="s">
        <v>130</v>
      </c>
      <c r="E820" s="32" t="s">
        <v>29</v>
      </c>
      <c r="F820" s="6"/>
    </row>
    <row r="821" spans="1:6" ht="15.75" thickBot="1" x14ac:dyDescent="0.3">
      <c r="A821" s="35" t="s">
        <v>31</v>
      </c>
      <c r="B821" s="7" t="s">
        <v>32</v>
      </c>
      <c r="C821" s="15">
        <v>45323</v>
      </c>
      <c r="D821" s="35" t="s">
        <v>33</v>
      </c>
      <c r="E821" s="7" t="s">
        <v>34</v>
      </c>
      <c r="F821" s="6"/>
    </row>
    <row r="822" spans="1:6" ht="15.75" thickBot="1" x14ac:dyDescent="0.3">
      <c r="A822" s="36"/>
      <c r="B822" s="7" t="s">
        <v>36</v>
      </c>
      <c r="C822" s="5">
        <v>1</v>
      </c>
      <c r="D822" s="36"/>
      <c r="E822" s="7" t="s">
        <v>37</v>
      </c>
      <c r="F822" s="6"/>
    </row>
    <row r="823" spans="1:6" ht="15.75" thickBot="1" x14ac:dyDescent="0.3">
      <c r="A823" s="36"/>
      <c r="B823" s="7" t="s">
        <v>39</v>
      </c>
      <c r="C823" s="15">
        <v>45381</v>
      </c>
      <c r="D823" s="36"/>
      <c r="E823" s="7" t="s">
        <v>40</v>
      </c>
      <c r="F823" s="6"/>
    </row>
    <row r="824" spans="1:6" ht="15.75" thickBot="1" x14ac:dyDescent="0.3">
      <c r="A824" s="36"/>
      <c r="B824" s="7" t="s">
        <v>36</v>
      </c>
      <c r="C824" s="5">
        <v>1</v>
      </c>
      <c r="D824" s="36"/>
      <c r="E824" s="7" t="s">
        <v>41</v>
      </c>
      <c r="F824" s="6"/>
    </row>
    <row r="825" spans="1:6" ht="15.75" thickBot="1" x14ac:dyDescent="0.3">
      <c r="A825" s="2"/>
      <c r="B825" s="2"/>
      <c r="C825" s="2"/>
      <c r="D825" s="2"/>
      <c r="E825" s="2"/>
      <c r="F825" s="2"/>
    </row>
    <row r="826" spans="1:6" ht="15.75" thickBot="1" x14ac:dyDescent="0.3">
      <c r="A826" s="12" t="s">
        <v>42</v>
      </c>
      <c r="B826" s="12" t="s">
        <v>43</v>
      </c>
      <c r="C826" s="12" t="s">
        <v>44</v>
      </c>
      <c r="D826" s="12" t="s">
        <v>45</v>
      </c>
      <c r="E826" s="12" t="s">
        <v>46</v>
      </c>
      <c r="F826" s="12" t="s">
        <v>47</v>
      </c>
    </row>
    <row r="827" spans="1:6" ht="22.5" x14ac:dyDescent="0.25">
      <c r="A827" s="8">
        <v>82101601</v>
      </c>
      <c r="B827" s="9" t="s">
        <v>258</v>
      </c>
      <c r="C827" s="8" t="s">
        <v>55</v>
      </c>
      <c r="D827" s="8">
        <v>1</v>
      </c>
      <c r="E827" s="11">
        <v>7434000</v>
      </c>
      <c r="F827" s="10">
        <v>7434000</v>
      </c>
    </row>
    <row r="828" spans="1:6" ht="22.5" x14ac:dyDescent="0.25">
      <c r="A828" s="8">
        <v>82101602</v>
      </c>
      <c r="B828" s="9" t="s">
        <v>259</v>
      </c>
      <c r="C828" s="33" t="s">
        <v>55</v>
      </c>
      <c r="D828" s="8">
        <v>1</v>
      </c>
      <c r="E828" s="11">
        <v>2992480</v>
      </c>
      <c r="F828" s="10">
        <v>2992480</v>
      </c>
    </row>
    <row r="829" spans="1:6" x14ac:dyDescent="0.25">
      <c r="A829" s="2"/>
      <c r="B829" s="2"/>
      <c r="C829" s="2"/>
      <c r="D829" s="2"/>
      <c r="E829" s="13" t="s">
        <v>87</v>
      </c>
      <c r="F829" s="14">
        <v>10426480</v>
      </c>
    </row>
    <row r="830" spans="1:6" ht="15.75" thickBot="1" x14ac:dyDescent="0.3">
      <c r="A830" s="1"/>
      <c r="B830" s="1"/>
      <c r="C830" s="1"/>
      <c r="D830" s="1"/>
      <c r="E830" s="1"/>
      <c r="F830" s="1"/>
    </row>
    <row r="831" spans="1:6" ht="34.5" thickBot="1" x14ac:dyDescent="0.3">
      <c r="A831" s="4" t="s">
        <v>19</v>
      </c>
      <c r="B831" s="4" t="s">
        <v>20</v>
      </c>
      <c r="C831" s="4" t="s">
        <v>21</v>
      </c>
      <c r="D831" s="4" t="s">
        <v>22</v>
      </c>
      <c r="E831" s="4" t="s">
        <v>23</v>
      </c>
      <c r="F831" s="4" t="s">
        <v>24</v>
      </c>
    </row>
    <row r="832" spans="1:6" ht="15.75" thickBot="1" x14ac:dyDescent="0.3">
      <c r="A832" s="32" t="s">
        <v>260</v>
      </c>
      <c r="B832" s="32" t="s">
        <v>261</v>
      </c>
      <c r="C832" s="32" t="s">
        <v>27</v>
      </c>
      <c r="D832" s="6" t="s">
        <v>28</v>
      </c>
      <c r="E832" s="6" t="s">
        <v>262</v>
      </c>
      <c r="F832" s="6"/>
    </row>
    <row r="833" spans="1:6" ht="15.75" thickBot="1" x14ac:dyDescent="0.3">
      <c r="A833" s="35" t="s">
        <v>31</v>
      </c>
      <c r="B833" s="7" t="s">
        <v>32</v>
      </c>
      <c r="C833" s="15">
        <v>45323</v>
      </c>
      <c r="D833" s="35" t="s">
        <v>33</v>
      </c>
      <c r="E833" s="7" t="s">
        <v>34</v>
      </c>
      <c r="F833" s="6"/>
    </row>
    <row r="834" spans="1:6" ht="15.75" thickBot="1" x14ac:dyDescent="0.3">
      <c r="A834" s="36"/>
      <c r="B834" s="7" t="s">
        <v>36</v>
      </c>
      <c r="C834" s="5">
        <v>1</v>
      </c>
      <c r="D834" s="36"/>
      <c r="E834" s="7" t="s">
        <v>37</v>
      </c>
      <c r="F834" s="6"/>
    </row>
    <row r="835" spans="1:6" ht="15.75" thickBot="1" x14ac:dyDescent="0.3">
      <c r="A835" s="36"/>
      <c r="B835" s="7" t="s">
        <v>39</v>
      </c>
      <c r="C835" s="15">
        <v>45381</v>
      </c>
      <c r="D835" s="36"/>
      <c r="E835" s="7" t="s">
        <v>40</v>
      </c>
      <c r="F835" s="6"/>
    </row>
    <row r="836" spans="1:6" ht="15.75" thickBot="1" x14ac:dyDescent="0.3">
      <c r="A836" s="36"/>
      <c r="B836" s="7" t="s">
        <v>36</v>
      </c>
      <c r="C836" s="5">
        <v>1</v>
      </c>
      <c r="D836" s="36"/>
      <c r="E836" s="7" t="s">
        <v>41</v>
      </c>
      <c r="F836" s="6"/>
    </row>
    <row r="837" spans="1:6" ht="15.75" thickBot="1" x14ac:dyDescent="0.3">
      <c r="A837" s="2"/>
      <c r="B837" s="2"/>
      <c r="C837" s="2"/>
      <c r="D837" s="2"/>
      <c r="E837" s="2"/>
      <c r="F837" s="2"/>
    </row>
    <row r="838" spans="1:6" ht="15.75" thickBot="1" x14ac:dyDescent="0.3">
      <c r="A838" s="12" t="s">
        <v>42</v>
      </c>
      <c r="B838" s="12" t="s">
        <v>43</v>
      </c>
      <c r="C838" s="12" t="s">
        <v>44</v>
      </c>
      <c r="D838" s="12" t="s">
        <v>45</v>
      </c>
      <c r="E838" s="12" t="s">
        <v>46</v>
      </c>
      <c r="F838" s="12" t="s">
        <v>47</v>
      </c>
    </row>
    <row r="839" spans="1:6" ht="22.5" x14ac:dyDescent="0.25">
      <c r="A839" s="8">
        <v>30171501</v>
      </c>
      <c r="B839" s="9" t="s">
        <v>263</v>
      </c>
      <c r="C839" s="8" t="s">
        <v>55</v>
      </c>
      <c r="D839" s="8">
        <v>19</v>
      </c>
      <c r="E839" s="11">
        <v>32800</v>
      </c>
      <c r="F839" s="10">
        <v>623200</v>
      </c>
    </row>
    <row r="840" spans="1:6" ht="33.75" x14ac:dyDescent="0.25">
      <c r="A840" s="8">
        <v>30171605</v>
      </c>
      <c r="B840" s="9" t="s">
        <v>264</v>
      </c>
      <c r="C840" s="33" t="s">
        <v>55</v>
      </c>
      <c r="D840" s="8">
        <v>160</v>
      </c>
      <c r="E840" s="11">
        <v>2419</v>
      </c>
      <c r="F840" s="10">
        <v>387040</v>
      </c>
    </row>
    <row r="841" spans="1:6" ht="33.75" x14ac:dyDescent="0.25">
      <c r="A841" s="8">
        <v>30171605</v>
      </c>
      <c r="B841" s="9" t="s">
        <v>264</v>
      </c>
      <c r="C841" s="33" t="s">
        <v>55</v>
      </c>
      <c r="D841" s="8">
        <v>170</v>
      </c>
      <c r="E841" s="11">
        <v>2419</v>
      </c>
      <c r="F841" s="10">
        <v>411230</v>
      </c>
    </row>
    <row r="842" spans="1:6" x14ac:dyDescent="0.25">
      <c r="A842" s="2"/>
      <c r="B842" s="2"/>
      <c r="C842" s="2"/>
      <c r="D842" s="2"/>
      <c r="E842" s="13" t="s">
        <v>87</v>
      </c>
      <c r="F842" s="14">
        <v>1421470</v>
      </c>
    </row>
    <row r="843" spans="1:6" ht="15.75" thickBot="1" x14ac:dyDescent="0.3">
      <c r="A843" s="1"/>
      <c r="B843" s="1"/>
      <c r="C843" s="1"/>
      <c r="D843" s="1"/>
      <c r="E843" s="1"/>
      <c r="F843" s="1"/>
    </row>
    <row r="844" spans="1:6" ht="34.5" thickBot="1" x14ac:dyDescent="0.3">
      <c r="A844" s="4" t="s">
        <v>19</v>
      </c>
      <c r="B844" s="4" t="s">
        <v>20</v>
      </c>
      <c r="C844" s="4" t="s">
        <v>21</v>
      </c>
      <c r="D844" s="4" t="s">
        <v>22</v>
      </c>
      <c r="E844" s="4" t="s">
        <v>23</v>
      </c>
      <c r="F844" s="4" t="s">
        <v>24</v>
      </c>
    </row>
    <row r="845" spans="1:6" ht="15.75" thickBot="1" x14ac:dyDescent="0.3">
      <c r="A845" s="32" t="s">
        <v>265</v>
      </c>
      <c r="B845" s="32" t="s">
        <v>266</v>
      </c>
      <c r="C845" s="32" t="s">
        <v>27</v>
      </c>
      <c r="D845" s="6" t="s">
        <v>28</v>
      </c>
      <c r="E845" s="6" t="s">
        <v>262</v>
      </c>
      <c r="F845" s="6"/>
    </row>
    <row r="846" spans="1:6" ht="15.75" thickBot="1" x14ac:dyDescent="0.3">
      <c r="A846" s="35" t="s">
        <v>31</v>
      </c>
      <c r="B846" s="7" t="s">
        <v>32</v>
      </c>
      <c r="C846" s="15">
        <v>45323</v>
      </c>
      <c r="D846" s="35" t="s">
        <v>33</v>
      </c>
      <c r="E846" s="7" t="s">
        <v>34</v>
      </c>
      <c r="F846" s="6"/>
    </row>
    <row r="847" spans="1:6" ht="15.75" thickBot="1" x14ac:dyDescent="0.3">
      <c r="A847" s="36"/>
      <c r="B847" s="7" t="s">
        <v>36</v>
      </c>
      <c r="C847" s="5">
        <v>1</v>
      </c>
      <c r="D847" s="36"/>
      <c r="E847" s="7" t="s">
        <v>37</v>
      </c>
      <c r="F847" s="6"/>
    </row>
    <row r="848" spans="1:6" ht="15.75" thickBot="1" x14ac:dyDescent="0.3">
      <c r="A848" s="36"/>
      <c r="B848" s="7" t="s">
        <v>39</v>
      </c>
      <c r="C848" s="15">
        <v>45381</v>
      </c>
      <c r="D848" s="36"/>
      <c r="E848" s="7" t="s">
        <v>40</v>
      </c>
      <c r="F848" s="6"/>
    </row>
    <row r="849" spans="1:6" ht="15.75" thickBot="1" x14ac:dyDescent="0.3">
      <c r="A849" s="36"/>
      <c r="B849" s="7" t="s">
        <v>36</v>
      </c>
      <c r="C849" s="5">
        <v>1</v>
      </c>
      <c r="D849" s="36"/>
      <c r="E849" s="7" t="s">
        <v>41</v>
      </c>
      <c r="F849" s="6"/>
    </row>
    <row r="850" spans="1:6" ht="15.75" thickBot="1" x14ac:dyDescent="0.3">
      <c r="A850" s="2"/>
      <c r="B850" s="2"/>
      <c r="C850" s="2"/>
      <c r="D850" s="2"/>
      <c r="E850" s="2"/>
      <c r="F850" s="2"/>
    </row>
    <row r="851" spans="1:6" ht="15.75" thickBot="1" x14ac:dyDescent="0.3">
      <c r="A851" s="12" t="s">
        <v>42</v>
      </c>
      <c r="B851" s="12" t="s">
        <v>43</v>
      </c>
      <c r="C851" s="12" t="s">
        <v>44</v>
      </c>
      <c r="D851" s="12" t="s">
        <v>45</v>
      </c>
      <c r="E851" s="12" t="s">
        <v>46</v>
      </c>
      <c r="F851" s="12" t="s">
        <v>47</v>
      </c>
    </row>
    <row r="852" spans="1:6" ht="22.5" x14ac:dyDescent="0.25">
      <c r="A852" s="8">
        <v>30171706</v>
      </c>
      <c r="B852" s="9" t="s">
        <v>267</v>
      </c>
      <c r="C852" s="33" t="s">
        <v>55</v>
      </c>
      <c r="D852" s="8">
        <v>500</v>
      </c>
      <c r="E852" s="11">
        <v>2478</v>
      </c>
      <c r="F852" s="10">
        <v>1239000</v>
      </c>
    </row>
    <row r="853" spans="1:6" x14ac:dyDescent="0.25">
      <c r="A853" s="2"/>
      <c r="B853" s="2"/>
      <c r="C853" s="2"/>
      <c r="D853" s="2"/>
      <c r="E853" s="13" t="s">
        <v>87</v>
      </c>
      <c r="F853" s="14">
        <v>1239000</v>
      </c>
    </row>
    <row r="854" spans="1:6" ht="15.75" thickBot="1" x14ac:dyDescent="0.3">
      <c r="A854" s="1"/>
      <c r="B854" s="1"/>
      <c r="C854" s="1"/>
      <c r="D854" s="1"/>
      <c r="E854" s="1"/>
      <c r="F854" s="1"/>
    </row>
    <row r="855" spans="1:6" ht="34.5" thickBot="1" x14ac:dyDescent="0.3">
      <c r="A855" s="4" t="s">
        <v>19</v>
      </c>
      <c r="B855" s="4" t="s">
        <v>20</v>
      </c>
      <c r="C855" s="4" t="s">
        <v>21</v>
      </c>
      <c r="D855" s="4" t="s">
        <v>22</v>
      </c>
      <c r="E855" s="4" t="s">
        <v>23</v>
      </c>
      <c r="F855" s="4" t="s">
        <v>24</v>
      </c>
    </row>
    <row r="856" spans="1:6" ht="15.75" thickBot="1" x14ac:dyDescent="0.3">
      <c r="A856" s="32" t="s">
        <v>268</v>
      </c>
      <c r="B856" s="32" t="s">
        <v>269</v>
      </c>
      <c r="C856" s="32" t="s">
        <v>129</v>
      </c>
      <c r="D856" s="6" t="s">
        <v>28</v>
      </c>
      <c r="E856" s="6" t="s">
        <v>262</v>
      </c>
      <c r="F856" s="6"/>
    </row>
    <row r="857" spans="1:6" ht="15.75" thickBot="1" x14ac:dyDescent="0.3">
      <c r="A857" s="35" t="s">
        <v>31</v>
      </c>
      <c r="B857" s="7" t="s">
        <v>32</v>
      </c>
      <c r="C857" s="15">
        <v>45323</v>
      </c>
      <c r="D857" s="35" t="s">
        <v>33</v>
      </c>
      <c r="E857" s="7" t="s">
        <v>34</v>
      </c>
      <c r="F857" s="6"/>
    </row>
    <row r="858" spans="1:6" ht="15.75" thickBot="1" x14ac:dyDescent="0.3">
      <c r="A858" s="36"/>
      <c r="B858" s="7" t="s">
        <v>36</v>
      </c>
      <c r="C858" s="5">
        <v>1</v>
      </c>
      <c r="D858" s="36"/>
      <c r="E858" s="7" t="s">
        <v>37</v>
      </c>
      <c r="F858" s="6"/>
    </row>
    <row r="859" spans="1:6" ht="15.75" thickBot="1" x14ac:dyDescent="0.3">
      <c r="A859" s="36"/>
      <c r="B859" s="7" t="s">
        <v>39</v>
      </c>
      <c r="C859" s="15">
        <v>45381</v>
      </c>
      <c r="D859" s="36"/>
      <c r="E859" s="7" t="s">
        <v>40</v>
      </c>
      <c r="F859" s="6"/>
    </row>
    <row r="860" spans="1:6" ht="15.75" thickBot="1" x14ac:dyDescent="0.3">
      <c r="A860" s="36"/>
      <c r="B860" s="7" t="s">
        <v>36</v>
      </c>
      <c r="C860" s="5">
        <v>1</v>
      </c>
      <c r="D860" s="36"/>
      <c r="E860" s="7" t="s">
        <v>41</v>
      </c>
      <c r="F860" s="6"/>
    </row>
    <row r="861" spans="1:6" ht="15.75" thickBot="1" x14ac:dyDescent="0.3">
      <c r="A861" s="2"/>
      <c r="B861" s="2"/>
      <c r="C861" s="2"/>
      <c r="D861" s="2"/>
      <c r="E861" s="2"/>
      <c r="F861" s="2"/>
    </row>
    <row r="862" spans="1:6" ht="15.75" thickBot="1" x14ac:dyDescent="0.3">
      <c r="A862" s="12" t="s">
        <v>42</v>
      </c>
      <c r="B862" s="12" t="s">
        <v>43</v>
      </c>
      <c r="C862" s="12" t="s">
        <v>44</v>
      </c>
      <c r="D862" s="12" t="s">
        <v>45</v>
      </c>
      <c r="E862" s="12" t="s">
        <v>46</v>
      </c>
      <c r="F862" s="12" t="s">
        <v>47</v>
      </c>
    </row>
    <row r="863" spans="1:6" ht="22.5" x14ac:dyDescent="0.25">
      <c r="A863" s="8">
        <v>78111808</v>
      </c>
      <c r="B863" s="9" t="s">
        <v>216</v>
      </c>
      <c r="C863" s="8" t="s">
        <v>55</v>
      </c>
      <c r="D863" s="8">
        <v>10</v>
      </c>
      <c r="E863" s="11">
        <v>16800</v>
      </c>
      <c r="F863" s="10">
        <v>168000</v>
      </c>
    </row>
    <row r="864" spans="1:6" ht="33.75" x14ac:dyDescent="0.25">
      <c r="A864" s="8">
        <v>78111803</v>
      </c>
      <c r="B864" s="9" t="s">
        <v>217</v>
      </c>
      <c r="C864" s="33" t="s">
        <v>55</v>
      </c>
      <c r="D864" s="8">
        <v>20</v>
      </c>
      <c r="E864" s="11">
        <v>28000</v>
      </c>
      <c r="F864" s="10">
        <v>560000</v>
      </c>
    </row>
    <row r="865" spans="1:6" ht="78.75" x14ac:dyDescent="0.25">
      <c r="A865" s="8">
        <v>78101802</v>
      </c>
      <c r="B865" s="9" t="s">
        <v>218</v>
      </c>
      <c r="C865" s="33" t="s">
        <v>55</v>
      </c>
      <c r="D865" s="8">
        <v>20</v>
      </c>
      <c r="E865" s="11">
        <v>35000</v>
      </c>
      <c r="F865" s="10">
        <v>700000</v>
      </c>
    </row>
    <row r="866" spans="1:6" x14ac:dyDescent="0.25">
      <c r="A866" s="2"/>
      <c r="B866" s="2"/>
      <c r="C866" s="2"/>
      <c r="D866" s="2"/>
      <c r="E866" s="13" t="s">
        <v>87</v>
      </c>
      <c r="F866" s="14">
        <v>1428000</v>
      </c>
    </row>
    <row r="867" spans="1:6" ht="15.75" thickBot="1" x14ac:dyDescent="0.3">
      <c r="A867" s="1"/>
      <c r="B867" s="1"/>
      <c r="C867" s="1"/>
      <c r="D867" s="1"/>
      <c r="E867" s="1"/>
      <c r="F867" s="1"/>
    </row>
    <row r="868" spans="1:6" ht="34.5" thickBot="1" x14ac:dyDescent="0.3">
      <c r="A868" s="4" t="s">
        <v>19</v>
      </c>
      <c r="B868" s="4" t="s">
        <v>20</v>
      </c>
      <c r="C868" s="4" t="s">
        <v>21</v>
      </c>
      <c r="D868" s="4" t="s">
        <v>22</v>
      </c>
      <c r="E868" s="4" t="s">
        <v>23</v>
      </c>
      <c r="F868" s="4" t="s">
        <v>24</v>
      </c>
    </row>
    <row r="869" spans="1:6" ht="15.75" thickBot="1" x14ac:dyDescent="0.3">
      <c r="A869" s="32" t="s">
        <v>270</v>
      </c>
      <c r="B869" s="32" t="s">
        <v>271</v>
      </c>
      <c r="C869" s="32" t="s">
        <v>129</v>
      </c>
      <c r="D869" s="6" t="s">
        <v>28</v>
      </c>
      <c r="E869" s="6" t="s">
        <v>262</v>
      </c>
      <c r="F869" s="6"/>
    </row>
    <row r="870" spans="1:6" ht="15.75" thickBot="1" x14ac:dyDescent="0.3">
      <c r="A870" s="35" t="s">
        <v>31</v>
      </c>
      <c r="B870" s="7" t="s">
        <v>32</v>
      </c>
      <c r="C870" s="15">
        <v>45323</v>
      </c>
      <c r="D870" s="35" t="s">
        <v>33</v>
      </c>
      <c r="E870" s="7" t="s">
        <v>34</v>
      </c>
      <c r="F870" s="6"/>
    </row>
    <row r="871" spans="1:6" ht="15.75" thickBot="1" x14ac:dyDescent="0.3">
      <c r="A871" s="36"/>
      <c r="B871" s="7" t="s">
        <v>36</v>
      </c>
      <c r="C871" s="5">
        <v>1</v>
      </c>
      <c r="D871" s="36"/>
      <c r="E871" s="7" t="s">
        <v>37</v>
      </c>
      <c r="F871" s="6"/>
    </row>
    <row r="872" spans="1:6" ht="15.75" thickBot="1" x14ac:dyDescent="0.3">
      <c r="A872" s="36"/>
      <c r="B872" s="7" t="s">
        <v>39</v>
      </c>
      <c r="C872" s="15">
        <v>45381</v>
      </c>
      <c r="D872" s="36"/>
      <c r="E872" s="7" t="s">
        <v>40</v>
      </c>
      <c r="F872" s="6"/>
    </row>
    <row r="873" spans="1:6" ht="15.75" thickBot="1" x14ac:dyDescent="0.3">
      <c r="A873" s="36"/>
      <c r="B873" s="7" t="s">
        <v>36</v>
      </c>
      <c r="C873" s="5">
        <v>1</v>
      </c>
      <c r="D873" s="36"/>
      <c r="E873" s="7" t="s">
        <v>41</v>
      </c>
      <c r="F873" s="6"/>
    </row>
    <row r="874" spans="1:6" ht="15.75" thickBot="1" x14ac:dyDescent="0.3">
      <c r="A874" s="2"/>
      <c r="B874" s="2"/>
      <c r="C874" s="2"/>
      <c r="D874" s="2"/>
      <c r="E874" s="2"/>
      <c r="F874" s="2"/>
    </row>
    <row r="875" spans="1:6" ht="15.75" thickBot="1" x14ac:dyDescent="0.3">
      <c r="A875" s="12" t="s">
        <v>42</v>
      </c>
      <c r="B875" s="12" t="s">
        <v>43</v>
      </c>
      <c r="C875" s="12" t="s">
        <v>44</v>
      </c>
      <c r="D875" s="12" t="s">
        <v>45</v>
      </c>
      <c r="E875" s="12" t="s">
        <v>46</v>
      </c>
      <c r="F875" s="12" t="s">
        <v>47</v>
      </c>
    </row>
    <row r="876" spans="1:6" ht="33.75" x14ac:dyDescent="0.25">
      <c r="A876" s="8">
        <v>72101508</v>
      </c>
      <c r="B876" s="9" t="s">
        <v>272</v>
      </c>
      <c r="C876" s="8" t="s">
        <v>55</v>
      </c>
      <c r="D876" s="8">
        <v>1</v>
      </c>
      <c r="E876" s="11">
        <v>185000</v>
      </c>
      <c r="F876" s="10">
        <v>185000</v>
      </c>
    </row>
    <row r="877" spans="1:6" ht="33.75" x14ac:dyDescent="0.25">
      <c r="A877" s="8">
        <v>72101507</v>
      </c>
      <c r="B877" s="9" t="s">
        <v>273</v>
      </c>
      <c r="C877" s="33" t="s">
        <v>55</v>
      </c>
      <c r="D877" s="8">
        <v>1</v>
      </c>
      <c r="E877" s="11">
        <v>750000</v>
      </c>
      <c r="F877" s="10">
        <v>750000</v>
      </c>
    </row>
    <row r="878" spans="1:6" x14ac:dyDescent="0.25">
      <c r="A878" s="2"/>
      <c r="B878" s="2"/>
      <c r="C878" s="2"/>
      <c r="D878" s="2"/>
      <c r="E878" s="13" t="s">
        <v>87</v>
      </c>
      <c r="F878" s="14">
        <v>935000</v>
      </c>
    </row>
    <row r="879" spans="1:6" ht="15.75" thickBot="1" x14ac:dyDescent="0.3">
      <c r="A879" s="1"/>
      <c r="B879" s="1"/>
      <c r="C879" s="1"/>
      <c r="D879" s="1"/>
      <c r="E879" s="1"/>
      <c r="F879" s="1"/>
    </row>
    <row r="880" spans="1:6" ht="34.5" thickBot="1" x14ac:dyDescent="0.3">
      <c r="A880" s="4" t="s">
        <v>19</v>
      </c>
      <c r="B880" s="4" t="s">
        <v>20</v>
      </c>
      <c r="C880" s="4" t="s">
        <v>21</v>
      </c>
      <c r="D880" s="4" t="s">
        <v>22</v>
      </c>
      <c r="E880" s="4" t="s">
        <v>23</v>
      </c>
      <c r="F880" s="4" t="s">
        <v>24</v>
      </c>
    </row>
    <row r="881" spans="1:6" ht="15.75" thickBot="1" x14ac:dyDescent="0.3">
      <c r="A881" s="32" t="s">
        <v>274</v>
      </c>
      <c r="B881" s="32" t="s">
        <v>275</v>
      </c>
      <c r="C881" s="32" t="s">
        <v>129</v>
      </c>
      <c r="D881" s="6" t="s">
        <v>28</v>
      </c>
      <c r="E881" s="32" t="s">
        <v>29</v>
      </c>
      <c r="F881" s="6"/>
    </row>
    <row r="882" spans="1:6" ht="15.75" thickBot="1" x14ac:dyDescent="0.3">
      <c r="A882" s="35" t="s">
        <v>31</v>
      </c>
      <c r="B882" s="7" t="s">
        <v>32</v>
      </c>
      <c r="C882" s="15">
        <v>45323</v>
      </c>
      <c r="D882" s="35" t="s">
        <v>33</v>
      </c>
      <c r="E882" s="7" t="s">
        <v>34</v>
      </c>
      <c r="F882" s="6"/>
    </row>
    <row r="883" spans="1:6" ht="15.75" thickBot="1" x14ac:dyDescent="0.3">
      <c r="A883" s="36"/>
      <c r="B883" s="7" t="s">
        <v>36</v>
      </c>
      <c r="C883" s="5">
        <v>1</v>
      </c>
      <c r="D883" s="36"/>
      <c r="E883" s="7" t="s">
        <v>37</v>
      </c>
      <c r="F883" s="6"/>
    </row>
    <row r="884" spans="1:6" ht="15.75" thickBot="1" x14ac:dyDescent="0.3">
      <c r="A884" s="36"/>
      <c r="B884" s="7" t="s">
        <v>39</v>
      </c>
      <c r="C884" s="15">
        <v>45381</v>
      </c>
      <c r="D884" s="36"/>
      <c r="E884" s="7" t="s">
        <v>40</v>
      </c>
      <c r="F884" s="6"/>
    </row>
    <row r="885" spans="1:6" ht="15.75" thickBot="1" x14ac:dyDescent="0.3">
      <c r="A885" s="36"/>
      <c r="B885" s="7" t="s">
        <v>36</v>
      </c>
      <c r="C885" s="5">
        <v>1</v>
      </c>
      <c r="D885" s="36"/>
      <c r="E885" s="7" t="s">
        <v>41</v>
      </c>
      <c r="F885" s="6"/>
    </row>
    <row r="886" spans="1:6" ht="15.75" thickBot="1" x14ac:dyDescent="0.3">
      <c r="A886" s="2"/>
      <c r="B886" s="2"/>
      <c r="C886" s="2"/>
      <c r="D886" s="2"/>
      <c r="E886" s="2"/>
      <c r="F886" s="2"/>
    </row>
    <row r="887" spans="1:6" ht="15.75" thickBot="1" x14ac:dyDescent="0.3">
      <c r="A887" s="12" t="s">
        <v>42</v>
      </c>
      <c r="B887" s="12" t="s">
        <v>43</v>
      </c>
      <c r="C887" s="12" t="s">
        <v>44</v>
      </c>
      <c r="D887" s="12" t="s">
        <v>45</v>
      </c>
      <c r="E887" s="12" t="s">
        <v>46</v>
      </c>
      <c r="F887" s="12" t="s">
        <v>47</v>
      </c>
    </row>
    <row r="888" spans="1:6" ht="33.75" x14ac:dyDescent="0.25">
      <c r="A888" s="8">
        <v>78111803</v>
      </c>
      <c r="B888" s="9" t="s">
        <v>217</v>
      </c>
      <c r="C888" s="8" t="s">
        <v>55</v>
      </c>
      <c r="D888" s="8">
        <v>20</v>
      </c>
      <c r="E888" s="11">
        <v>28000</v>
      </c>
      <c r="F888" s="10">
        <v>560000</v>
      </c>
    </row>
    <row r="889" spans="1:6" ht="33.75" x14ac:dyDescent="0.25">
      <c r="A889" s="8">
        <v>78111803</v>
      </c>
      <c r="B889" s="9" t="s">
        <v>217</v>
      </c>
      <c r="C889" s="33" t="s">
        <v>55</v>
      </c>
      <c r="D889" s="8">
        <v>20</v>
      </c>
      <c r="E889" s="11">
        <v>35000</v>
      </c>
      <c r="F889" s="10">
        <v>700000</v>
      </c>
    </row>
    <row r="890" spans="1:6" x14ac:dyDescent="0.25">
      <c r="A890" s="2"/>
      <c r="B890" s="2"/>
      <c r="C890" s="2"/>
      <c r="D890" s="2"/>
      <c r="E890" s="13" t="s">
        <v>87</v>
      </c>
      <c r="F890" s="14">
        <v>1260000</v>
      </c>
    </row>
    <row r="891" spans="1:6" ht="15.75" thickBot="1" x14ac:dyDescent="0.3">
      <c r="A891" s="1"/>
      <c r="B891" s="1"/>
      <c r="C891" s="1"/>
      <c r="D891" s="1"/>
      <c r="E891" s="1"/>
      <c r="F891" s="1"/>
    </row>
    <row r="892" spans="1:6" ht="34.5" thickBot="1" x14ac:dyDescent="0.3">
      <c r="A892" s="4" t="s">
        <v>19</v>
      </c>
      <c r="B892" s="4" t="s">
        <v>20</v>
      </c>
      <c r="C892" s="4" t="s">
        <v>21</v>
      </c>
      <c r="D892" s="4" t="s">
        <v>22</v>
      </c>
      <c r="E892" s="4" t="s">
        <v>23</v>
      </c>
      <c r="F892" s="4" t="s">
        <v>24</v>
      </c>
    </row>
    <row r="893" spans="1:6" ht="15.75" thickBot="1" x14ac:dyDescent="0.3">
      <c r="A893" s="32" t="s">
        <v>276</v>
      </c>
      <c r="B893" s="32" t="s">
        <v>277</v>
      </c>
      <c r="C893" s="32" t="s">
        <v>27</v>
      </c>
      <c r="D893" s="6" t="s">
        <v>28</v>
      </c>
      <c r="E893" s="6" t="s">
        <v>262</v>
      </c>
      <c r="F893" s="6"/>
    </row>
    <row r="894" spans="1:6" ht="15.75" thickBot="1" x14ac:dyDescent="0.3">
      <c r="A894" s="35" t="s">
        <v>31</v>
      </c>
      <c r="B894" s="7" t="s">
        <v>32</v>
      </c>
      <c r="C894" s="15">
        <v>45323</v>
      </c>
      <c r="D894" s="35" t="s">
        <v>33</v>
      </c>
      <c r="E894" s="7" t="s">
        <v>34</v>
      </c>
      <c r="F894" s="6"/>
    </row>
    <row r="895" spans="1:6" ht="15.75" thickBot="1" x14ac:dyDescent="0.3">
      <c r="A895" s="36"/>
      <c r="B895" s="7" t="s">
        <v>36</v>
      </c>
      <c r="C895" s="5">
        <v>1</v>
      </c>
      <c r="D895" s="36"/>
      <c r="E895" s="7" t="s">
        <v>37</v>
      </c>
      <c r="F895" s="6"/>
    </row>
    <row r="896" spans="1:6" ht="15.75" thickBot="1" x14ac:dyDescent="0.3">
      <c r="A896" s="36"/>
      <c r="B896" s="7" t="s">
        <v>39</v>
      </c>
      <c r="C896" s="15">
        <v>45381</v>
      </c>
      <c r="D896" s="36"/>
      <c r="E896" s="7" t="s">
        <v>40</v>
      </c>
      <c r="F896" s="6"/>
    </row>
    <row r="897" spans="1:6" ht="15.75" thickBot="1" x14ac:dyDescent="0.3">
      <c r="A897" s="36"/>
      <c r="B897" s="7" t="s">
        <v>36</v>
      </c>
      <c r="C897" s="5">
        <v>1</v>
      </c>
      <c r="D897" s="36"/>
      <c r="E897" s="7" t="s">
        <v>41</v>
      </c>
      <c r="F897" s="6"/>
    </row>
    <row r="898" spans="1:6" ht="15.75" thickBot="1" x14ac:dyDescent="0.3">
      <c r="A898" s="2"/>
      <c r="B898" s="2"/>
      <c r="C898" s="2"/>
      <c r="D898" s="2"/>
      <c r="E898" s="2"/>
      <c r="F898" s="2"/>
    </row>
    <row r="899" spans="1:6" ht="15.75" thickBot="1" x14ac:dyDescent="0.3">
      <c r="A899" s="12" t="s">
        <v>42</v>
      </c>
      <c r="B899" s="12" t="s">
        <v>43</v>
      </c>
      <c r="C899" s="12" t="s">
        <v>44</v>
      </c>
      <c r="D899" s="12" t="s">
        <v>45</v>
      </c>
      <c r="E899" s="12" t="s">
        <v>46</v>
      </c>
      <c r="F899" s="12" t="s">
        <v>47</v>
      </c>
    </row>
    <row r="900" spans="1:6" ht="33.75" x14ac:dyDescent="0.25">
      <c r="A900" s="8">
        <v>44112005</v>
      </c>
      <c r="B900" s="9" t="s">
        <v>71</v>
      </c>
      <c r="C900" s="8" t="s">
        <v>55</v>
      </c>
      <c r="D900" s="8">
        <v>500</v>
      </c>
      <c r="E900" s="11">
        <v>770</v>
      </c>
      <c r="F900" s="10">
        <v>385000</v>
      </c>
    </row>
    <row r="901" spans="1:6" x14ac:dyDescent="0.25">
      <c r="A901" s="2"/>
      <c r="B901" s="2"/>
      <c r="C901" s="2"/>
      <c r="D901" s="2"/>
      <c r="E901" s="13" t="s">
        <v>87</v>
      </c>
      <c r="F901" s="14">
        <v>385000</v>
      </c>
    </row>
    <row r="902" spans="1:6" ht="15.75" thickBot="1" x14ac:dyDescent="0.3">
      <c r="A902" s="1"/>
      <c r="B902" s="1"/>
      <c r="C902" s="1"/>
      <c r="D902" s="1"/>
      <c r="E902" s="1"/>
      <c r="F902" s="1"/>
    </row>
    <row r="903" spans="1:6" ht="34.5" thickBot="1" x14ac:dyDescent="0.3">
      <c r="A903" s="4" t="s">
        <v>19</v>
      </c>
      <c r="B903" s="4" t="s">
        <v>20</v>
      </c>
      <c r="C903" s="4" t="s">
        <v>21</v>
      </c>
      <c r="D903" s="4" t="s">
        <v>22</v>
      </c>
      <c r="E903" s="4" t="s">
        <v>23</v>
      </c>
      <c r="F903" s="4" t="s">
        <v>24</v>
      </c>
    </row>
    <row r="904" spans="1:6" ht="15.75" thickBot="1" x14ac:dyDescent="0.3">
      <c r="A904" s="32" t="s">
        <v>278</v>
      </c>
      <c r="B904" s="32" t="s">
        <v>279</v>
      </c>
      <c r="C904" s="32" t="s">
        <v>27</v>
      </c>
      <c r="D904" s="6" t="s">
        <v>28</v>
      </c>
      <c r="E904" s="6" t="s">
        <v>262</v>
      </c>
      <c r="F904" s="6"/>
    </row>
    <row r="905" spans="1:6" ht="15.75" thickBot="1" x14ac:dyDescent="0.3">
      <c r="A905" s="35" t="s">
        <v>31</v>
      </c>
      <c r="B905" s="7" t="s">
        <v>32</v>
      </c>
      <c r="C905" s="15">
        <v>45323</v>
      </c>
      <c r="D905" s="35" t="s">
        <v>33</v>
      </c>
      <c r="E905" s="7" t="s">
        <v>34</v>
      </c>
      <c r="F905" s="6"/>
    </row>
    <row r="906" spans="1:6" ht="15.75" thickBot="1" x14ac:dyDescent="0.3">
      <c r="A906" s="36"/>
      <c r="B906" s="7" t="s">
        <v>36</v>
      </c>
      <c r="C906" s="5">
        <v>1</v>
      </c>
      <c r="D906" s="36"/>
      <c r="E906" s="7" t="s">
        <v>37</v>
      </c>
      <c r="F906" s="6"/>
    </row>
    <row r="907" spans="1:6" ht="15.75" thickBot="1" x14ac:dyDescent="0.3">
      <c r="A907" s="36"/>
      <c r="B907" s="7" t="s">
        <v>39</v>
      </c>
      <c r="C907" s="15">
        <v>45381</v>
      </c>
      <c r="D907" s="36"/>
      <c r="E907" s="7" t="s">
        <v>40</v>
      </c>
      <c r="F907" s="6"/>
    </row>
    <row r="908" spans="1:6" ht="15.75" thickBot="1" x14ac:dyDescent="0.3">
      <c r="A908" s="36"/>
      <c r="B908" s="7" t="s">
        <v>36</v>
      </c>
      <c r="C908" s="5">
        <v>1</v>
      </c>
      <c r="D908" s="36"/>
      <c r="E908" s="7" t="s">
        <v>41</v>
      </c>
      <c r="F908" s="6"/>
    </row>
    <row r="909" spans="1:6" ht="15.75" thickBot="1" x14ac:dyDescent="0.3">
      <c r="A909" s="2"/>
      <c r="B909" s="2"/>
      <c r="C909" s="2"/>
      <c r="D909" s="2"/>
      <c r="E909" s="2"/>
      <c r="F909" s="2"/>
    </row>
    <row r="910" spans="1:6" ht="15.75" thickBot="1" x14ac:dyDescent="0.3">
      <c r="A910" s="12" t="s">
        <v>42</v>
      </c>
      <c r="B910" s="12" t="s">
        <v>43</v>
      </c>
      <c r="C910" s="12" t="s">
        <v>44</v>
      </c>
      <c r="D910" s="12" t="s">
        <v>45</v>
      </c>
      <c r="E910" s="12" t="s">
        <v>46</v>
      </c>
      <c r="F910" s="12" t="s">
        <v>47</v>
      </c>
    </row>
    <row r="911" spans="1:6" ht="33.75" x14ac:dyDescent="0.25">
      <c r="A911" s="8">
        <v>56112102</v>
      </c>
      <c r="B911" s="9" t="s">
        <v>280</v>
      </c>
      <c r="C911" s="8" t="s">
        <v>55</v>
      </c>
      <c r="D911" s="8">
        <v>500</v>
      </c>
      <c r="E911" s="11">
        <v>360</v>
      </c>
      <c r="F911" s="10">
        <v>180000</v>
      </c>
    </row>
    <row r="912" spans="1:6" x14ac:dyDescent="0.25">
      <c r="A912" s="8">
        <v>56101519</v>
      </c>
      <c r="B912" s="9" t="s">
        <v>281</v>
      </c>
      <c r="C912" s="33" t="s">
        <v>55</v>
      </c>
      <c r="D912" s="8">
        <v>30</v>
      </c>
      <c r="E912" s="11">
        <v>5800</v>
      </c>
      <c r="F912" s="10">
        <v>174000</v>
      </c>
    </row>
    <row r="913" spans="1:6" x14ac:dyDescent="0.25">
      <c r="A913" s="2"/>
      <c r="B913" s="2"/>
      <c r="C913" s="2"/>
      <c r="D913" s="2"/>
      <c r="E913" s="13" t="s">
        <v>87</v>
      </c>
      <c r="F913" s="14">
        <v>354000</v>
      </c>
    </row>
    <row r="914" spans="1:6" ht="15.75" thickBot="1" x14ac:dyDescent="0.3">
      <c r="A914" s="1"/>
      <c r="B914" s="1"/>
      <c r="C914" s="1"/>
      <c r="D914" s="1"/>
      <c r="E914" s="1"/>
      <c r="F914" s="1"/>
    </row>
    <row r="915" spans="1:6" ht="34.5" thickBot="1" x14ac:dyDescent="0.3">
      <c r="A915" s="4" t="s">
        <v>19</v>
      </c>
      <c r="B915" s="4" t="s">
        <v>20</v>
      </c>
      <c r="C915" s="4" t="s">
        <v>21</v>
      </c>
      <c r="D915" s="4" t="s">
        <v>22</v>
      </c>
      <c r="E915" s="4" t="s">
        <v>23</v>
      </c>
      <c r="F915" s="4" t="s">
        <v>24</v>
      </c>
    </row>
    <row r="916" spans="1:6" ht="15.75" thickBot="1" x14ac:dyDescent="0.3">
      <c r="A916" s="32" t="s">
        <v>282</v>
      </c>
      <c r="B916" s="32" t="s">
        <v>283</v>
      </c>
      <c r="C916" s="6" t="s">
        <v>27</v>
      </c>
      <c r="D916" s="6" t="s">
        <v>28</v>
      </c>
      <c r="E916" s="6" t="s">
        <v>262</v>
      </c>
      <c r="F916" s="6"/>
    </row>
    <row r="917" spans="1:6" ht="15.75" thickBot="1" x14ac:dyDescent="0.3">
      <c r="A917" s="35" t="s">
        <v>31</v>
      </c>
      <c r="B917" s="7" t="s">
        <v>32</v>
      </c>
      <c r="C917" s="15">
        <v>45323</v>
      </c>
      <c r="D917" s="35" t="s">
        <v>33</v>
      </c>
      <c r="E917" s="7" t="s">
        <v>34</v>
      </c>
      <c r="F917" s="6"/>
    </row>
    <row r="918" spans="1:6" ht="15.75" thickBot="1" x14ac:dyDescent="0.3">
      <c r="A918" s="36"/>
      <c r="B918" s="7" t="s">
        <v>36</v>
      </c>
      <c r="C918" s="5">
        <v>1</v>
      </c>
      <c r="D918" s="36"/>
      <c r="E918" s="7" t="s">
        <v>37</v>
      </c>
      <c r="F918" s="6"/>
    </row>
    <row r="919" spans="1:6" ht="15.75" thickBot="1" x14ac:dyDescent="0.3">
      <c r="A919" s="36"/>
      <c r="B919" s="7" t="s">
        <v>39</v>
      </c>
      <c r="C919" s="15">
        <v>45381</v>
      </c>
      <c r="D919" s="36"/>
      <c r="E919" s="7" t="s">
        <v>40</v>
      </c>
      <c r="F919" s="6"/>
    </row>
    <row r="920" spans="1:6" ht="15.75" thickBot="1" x14ac:dyDescent="0.3">
      <c r="A920" s="36"/>
      <c r="B920" s="7" t="s">
        <v>36</v>
      </c>
      <c r="C920" s="5">
        <v>1</v>
      </c>
      <c r="D920" s="36"/>
      <c r="E920" s="7" t="s">
        <v>41</v>
      </c>
      <c r="F920" s="6"/>
    </row>
    <row r="921" spans="1:6" ht="15.75" thickBot="1" x14ac:dyDescent="0.3">
      <c r="A921" s="2"/>
      <c r="B921" s="2"/>
      <c r="C921" s="2"/>
      <c r="D921" s="2"/>
      <c r="E921" s="2"/>
      <c r="F921" s="2"/>
    </row>
    <row r="922" spans="1:6" ht="15.75" thickBot="1" x14ac:dyDescent="0.3">
      <c r="A922" s="12" t="s">
        <v>42</v>
      </c>
      <c r="B922" s="12" t="s">
        <v>43</v>
      </c>
      <c r="C922" s="12" t="s">
        <v>44</v>
      </c>
      <c r="D922" s="12" t="s">
        <v>45</v>
      </c>
      <c r="E922" s="12" t="s">
        <v>46</v>
      </c>
      <c r="F922" s="12" t="s">
        <v>47</v>
      </c>
    </row>
    <row r="923" spans="1:6" x14ac:dyDescent="0.25">
      <c r="A923" s="8">
        <v>56101703</v>
      </c>
      <c r="B923" s="9" t="s">
        <v>284</v>
      </c>
      <c r="C923" s="8" t="s">
        <v>55</v>
      </c>
      <c r="D923" s="8">
        <v>1</v>
      </c>
      <c r="E923" s="11">
        <v>850000</v>
      </c>
      <c r="F923" s="10">
        <v>850000</v>
      </c>
    </row>
    <row r="924" spans="1:6" ht="33.75" x14ac:dyDescent="0.25">
      <c r="A924" s="8">
        <v>56101702</v>
      </c>
      <c r="B924" s="9" t="s">
        <v>285</v>
      </c>
      <c r="C924" s="33" t="s">
        <v>55</v>
      </c>
      <c r="D924" s="8">
        <v>6</v>
      </c>
      <c r="E924" s="11">
        <v>9800</v>
      </c>
      <c r="F924" s="10">
        <v>58800</v>
      </c>
    </row>
    <row r="925" spans="1:6" ht="33.75" x14ac:dyDescent="0.25">
      <c r="A925" s="8">
        <v>56101702</v>
      </c>
      <c r="B925" s="9" t="s">
        <v>285</v>
      </c>
      <c r="C925" s="33" t="s">
        <v>55</v>
      </c>
      <c r="D925" s="8">
        <v>6</v>
      </c>
      <c r="E925" s="11">
        <v>7800</v>
      </c>
      <c r="F925" s="10">
        <v>46800</v>
      </c>
    </row>
    <row r="926" spans="1:6" x14ac:dyDescent="0.25">
      <c r="A926" s="8">
        <v>56101703</v>
      </c>
      <c r="B926" s="9" t="s">
        <v>284</v>
      </c>
      <c r="C926" s="33" t="s">
        <v>55</v>
      </c>
      <c r="D926" s="8">
        <v>1</v>
      </c>
      <c r="E926" s="11">
        <v>18500</v>
      </c>
      <c r="F926" s="10">
        <v>18500</v>
      </c>
    </row>
    <row r="927" spans="1:6" x14ac:dyDescent="0.25">
      <c r="A927" s="8">
        <v>56101703</v>
      </c>
      <c r="B927" s="9" t="s">
        <v>284</v>
      </c>
      <c r="C927" s="33" t="s">
        <v>55</v>
      </c>
      <c r="D927" s="8">
        <v>1</v>
      </c>
      <c r="E927" s="11">
        <v>14600</v>
      </c>
      <c r="F927" s="10">
        <v>14600</v>
      </c>
    </row>
    <row r="928" spans="1:6" ht="22.5" x14ac:dyDescent="0.25">
      <c r="A928" s="8">
        <v>56112104</v>
      </c>
      <c r="B928" s="9" t="s">
        <v>286</v>
      </c>
      <c r="C928" s="33" t="s">
        <v>55</v>
      </c>
      <c r="D928" s="8">
        <v>1</v>
      </c>
      <c r="E928" s="11">
        <v>22600</v>
      </c>
      <c r="F928" s="10">
        <v>22600</v>
      </c>
    </row>
    <row r="929" spans="1:6" ht="22.5" x14ac:dyDescent="0.25">
      <c r="A929" s="8">
        <v>56112103</v>
      </c>
      <c r="B929" s="9" t="s">
        <v>287</v>
      </c>
      <c r="C929" s="33" t="s">
        <v>55</v>
      </c>
      <c r="D929" s="8">
        <v>7</v>
      </c>
      <c r="E929" s="11">
        <v>18900</v>
      </c>
      <c r="F929" s="10">
        <v>132300</v>
      </c>
    </row>
    <row r="930" spans="1:6" x14ac:dyDescent="0.25">
      <c r="A930" s="2"/>
      <c r="B930" s="2"/>
      <c r="C930" s="2"/>
      <c r="D930" s="2"/>
      <c r="E930" s="13" t="s">
        <v>87</v>
      </c>
      <c r="F930" s="14">
        <v>1143600</v>
      </c>
    </row>
    <row r="931" spans="1:6" ht="15.75" thickBot="1" x14ac:dyDescent="0.3">
      <c r="A931" s="1"/>
      <c r="B931" s="1"/>
      <c r="C931" s="1"/>
      <c r="D931" s="1"/>
      <c r="E931" s="1"/>
      <c r="F931" s="1"/>
    </row>
    <row r="932" spans="1:6" ht="34.5" thickBot="1" x14ac:dyDescent="0.3">
      <c r="A932" s="4" t="s">
        <v>19</v>
      </c>
      <c r="B932" s="4" t="s">
        <v>20</v>
      </c>
      <c r="C932" s="4" t="s">
        <v>21</v>
      </c>
      <c r="D932" s="4" t="s">
        <v>22</v>
      </c>
      <c r="E932" s="4" t="s">
        <v>23</v>
      </c>
      <c r="F932" s="4" t="s">
        <v>24</v>
      </c>
    </row>
    <row r="933" spans="1:6" ht="15.75" thickBot="1" x14ac:dyDescent="0.3">
      <c r="A933" s="32" t="s">
        <v>288</v>
      </c>
      <c r="B933" s="32" t="s">
        <v>289</v>
      </c>
      <c r="C933" s="32" t="s">
        <v>27</v>
      </c>
      <c r="D933" s="6" t="s">
        <v>28</v>
      </c>
      <c r="E933" s="6" t="s">
        <v>262</v>
      </c>
      <c r="F933" s="6"/>
    </row>
    <row r="934" spans="1:6" ht="15.75" thickBot="1" x14ac:dyDescent="0.3">
      <c r="A934" s="35" t="s">
        <v>31</v>
      </c>
      <c r="B934" s="7" t="s">
        <v>32</v>
      </c>
      <c r="C934" s="15">
        <v>45323</v>
      </c>
      <c r="D934" s="35" t="s">
        <v>33</v>
      </c>
      <c r="E934" s="7" t="s">
        <v>34</v>
      </c>
      <c r="F934" s="6"/>
    </row>
    <row r="935" spans="1:6" ht="15.75" thickBot="1" x14ac:dyDescent="0.3">
      <c r="A935" s="36"/>
      <c r="B935" s="7" t="s">
        <v>36</v>
      </c>
      <c r="C935" s="5">
        <v>1</v>
      </c>
      <c r="D935" s="36"/>
      <c r="E935" s="7" t="s">
        <v>37</v>
      </c>
      <c r="F935" s="6"/>
    </row>
    <row r="936" spans="1:6" ht="15.75" thickBot="1" x14ac:dyDescent="0.3">
      <c r="A936" s="36"/>
      <c r="B936" s="7" t="s">
        <v>39</v>
      </c>
      <c r="C936" s="15">
        <v>45381</v>
      </c>
      <c r="D936" s="36"/>
      <c r="E936" s="7" t="s">
        <v>40</v>
      </c>
      <c r="F936" s="6"/>
    </row>
    <row r="937" spans="1:6" ht="15.75" thickBot="1" x14ac:dyDescent="0.3">
      <c r="A937" s="36"/>
      <c r="B937" s="7" t="s">
        <v>36</v>
      </c>
      <c r="C937" s="5">
        <v>1</v>
      </c>
      <c r="D937" s="36"/>
      <c r="E937" s="7" t="s">
        <v>41</v>
      </c>
      <c r="F937" s="6"/>
    </row>
    <row r="938" spans="1:6" ht="15.75" thickBot="1" x14ac:dyDescent="0.3">
      <c r="A938" s="2"/>
      <c r="B938" s="2"/>
      <c r="C938" s="2"/>
      <c r="D938" s="2"/>
      <c r="E938" s="2"/>
      <c r="F938" s="2"/>
    </row>
    <row r="939" spans="1:6" ht="15.75" thickBot="1" x14ac:dyDescent="0.3">
      <c r="A939" s="12" t="s">
        <v>42</v>
      </c>
      <c r="B939" s="12" t="s">
        <v>43</v>
      </c>
      <c r="C939" s="12" t="s">
        <v>44</v>
      </c>
      <c r="D939" s="12" t="s">
        <v>45</v>
      </c>
      <c r="E939" s="12" t="s">
        <v>46</v>
      </c>
      <c r="F939" s="12" t="s">
        <v>47</v>
      </c>
    </row>
    <row r="940" spans="1:6" ht="90" x14ac:dyDescent="0.25">
      <c r="A940" s="8">
        <v>42171917</v>
      </c>
      <c r="B940" s="9" t="s">
        <v>290</v>
      </c>
      <c r="C940" s="8" t="s">
        <v>55</v>
      </c>
      <c r="D940" s="8">
        <v>1400</v>
      </c>
      <c r="E940" s="11">
        <v>1000</v>
      </c>
      <c r="F940" s="10">
        <v>1400000</v>
      </c>
    </row>
    <row r="941" spans="1:6" x14ac:dyDescent="0.25">
      <c r="A941" s="2"/>
      <c r="B941" s="2"/>
      <c r="C941" s="2"/>
      <c r="D941" s="2"/>
      <c r="E941" s="13" t="s">
        <v>87</v>
      </c>
      <c r="F941" s="14">
        <v>1400000</v>
      </c>
    </row>
    <row r="942" spans="1:6" ht="15.75" thickBot="1" x14ac:dyDescent="0.3">
      <c r="A942" s="1"/>
      <c r="B942" s="1"/>
      <c r="C942" s="1"/>
      <c r="D942" s="1"/>
      <c r="E942" s="1"/>
      <c r="F942" s="1"/>
    </row>
    <row r="943" spans="1:6" ht="34.5" thickBot="1" x14ac:dyDescent="0.3">
      <c r="A943" s="4" t="s">
        <v>19</v>
      </c>
      <c r="B943" s="4" t="s">
        <v>20</v>
      </c>
      <c r="C943" s="4" t="s">
        <v>21</v>
      </c>
      <c r="D943" s="4" t="s">
        <v>22</v>
      </c>
      <c r="E943" s="4" t="s">
        <v>23</v>
      </c>
      <c r="F943" s="4" t="s">
        <v>24</v>
      </c>
    </row>
    <row r="944" spans="1:6" ht="15.75" thickBot="1" x14ac:dyDescent="0.3">
      <c r="A944" s="32" t="s">
        <v>288</v>
      </c>
      <c r="B944" s="32" t="s">
        <v>289</v>
      </c>
      <c r="C944" s="32" t="s">
        <v>27</v>
      </c>
      <c r="D944" s="6" t="s">
        <v>28</v>
      </c>
      <c r="E944" s="32" t="s">
        <v>29</v>
      </c>
      <c r="F944" s="6"/>
    </row>
    <row r="945" spans="1:6" ht="15.75" thickBot="1" x14ac:dyDescent="0.3">
      <c r="A945" s="35" t="s">
        <v>31</v>
      </c>
      <c r="B945" s="7" t="s">
        <v>32</v>
      </c>
      <c r="C945" s="15">
        <v>45323</v>
      </c>
      <c r="D945" s="35" t="s">
        <v>33</v>
      </c>
      <c r="E945" s="7" t="s">
        <v>34</v>
      </c>
      <c r="F945" s="6"/>
    </row>
    <row r="946" spans="1:6" ht="15.75" thickBot="1" x14ac:dyDescent="0.3">
      <c r="A946" s="36"/>
      <c r="B946" s="7" t="s">
        <v>36</v>
      </c>
      <c r="C946" s="5">
        <v>1</v>
      </c>
      <c r="D946" s="36"/>
      <c r="E946" s="7" t="s">
        <v>37</v>
      </c>
      <c r="F946" s="6"/>
    </row>
    <row r="947" spans="1:6" ht="15.75" thickBot="1" x14ac:dyDescent="0.3">
      <c r="A947" s="36"/>
      <c r="B947" s="7" t="s">
        <v>39</v>
      </c>
      <c r="C947" s="15">
        <v>45381</v>
      </c>
      <c r="D947" s="36"/>
      <c r="E947" s="7" t="s">
        <v>40</v>
      </c>
      <c r="F947" s="6"/>
    </row>
    <row r="948" spans="1:6" ht="15.75" thickBot="1" x14ac:dyDescent="0.3">
      <c r="A948" s="36"/>
      <c r="B948" s="7" t="s">
        <v>36</v>
      </c>
      <c r="C948" s="5">
        <v>1</v>
      </c>
      <c r="D948" s="36"/>
      <c r="E948" s="7" t="s">
        <v>41</v>
      </c>
      <c r="F948" s="6"/>
    </row>
    <row r="949" spans="1:6" ht="15.75" thickBot="1" x14ac:dyDescent="0.3">
      <c r="A949" s="2"/>
      <c r="B949" s="2"/>
      <c r="C949" s="2"/>
      <c r="D949" s="2"/>
      <c r="E949" s="2"/>
      <c r="F949" s="2"/>
    </row>
    <row r="950" spans="1:6" ht="15.75" thickBot="1" x14ac:dyDescent="0.3">
      <c r="A950" s="12" t="s">
        <v>42</v>
      </c>
      <c r="B950" s="12" t="s">
        <v>43</v>
      </c>
      <c r="C950" s="12" t="s">
        <v>44</v>
      </c>
      <c r="D950" s="12" t="s">
        <v>45</v>
      </c>
      <c r="E950" s="12" t="s">
        <v>46</v>
      </c>
      <c r="F950" s="12" t="s">
        <v>47</v>
      </c>
    </row>
    <row r="951" spans="1:6" ht="90" x14ac:dyDescent="0.25">
      <c r="A951" s="8">
        <v>42171917</v>
      </c>
      <c r="B951" s="9" t="s">
        <v>290</v>
      </c>
      <c r="C951" s="33" t="s">
        <v>55</v>
      </c>
      <c r="D951" s="8">
        <v>1400</v>
      </c>
      <c r="E951" s="11">
        <v>1000</v>
      </c>
      <c r="F951" s="10">
        <v>1400000</v>
      </c>
    </row>
    <row r="952" spans="1:6" x14ac:dyDescent="0.25">
      <c r="A952" s="2"/>
      <c r="B952" s="2"/>
      <c r="C952" s="2"/>
      <c r="D952" s="2"/>
      <c r="E952" s="13" t="s">
        <v>87</v>
      </c>
      <c r="F952" s="14">
        <v>1400000</v>
      </c>
    </row>
    <row r="953" spans="1:6" ht="15.75" thickBot="1" x14ac:dyDescent="0.3">
      <c r="A953" s="1"/>
      <c r="B953" s="1"/>
      <c r="C953" s="1"/>
      <c r="D953" s="1"/>
      <c r="E953" s="1"/>
      <c r="F953" s="1"/>
    </row>
    <row r="954" spans="1:6" ht="34.5" thickBot="1" x14ac:dyDescent="0.3">
      <c r="A954" s="4" t="s">
        <v>19</v>
      </c>
      <c r="B954" s="4" t="s">
        <v>20</v>
      </c>
      <c r="C954" s="4" t="s">
        <v>21</v>
      </c>
      <c r="D954" s="4" t="s">
        <v>22</v>
      </c>
      <c r="E954" s="4" t="s">
        <v>23</v>
      </c>
      <c r="F954" s="4" t="s">
        <v>24</v>
      </c>
    </row>
    <row r="955" spans="1:6" ht="15.75" thickBot="1" x14ac:dyDescent="0.3">
      <c r="A955" s="32" t="s">
        <v>288</v>
      </c>
      <c r="B955" s="32" t="s">
        <v>289</v>
      </c>
      <c r="C955" s="6" t="s">
        <v>27</v>
      </c>
      <c r="D955" s="6" t="s">
        <v>28</v>
      </c>
      <c r="E955" s="32" t="s">
        <v>29</v>
      </c>
      <c r="F955" s="6"/>
    </row>
    <row r="956" spans="1:6" ht="15.75" thickBot="1" x14ac:dyDescent="0.3">
      <c r="A956" s="35" t="s">
        <v>31</v>
      </c>
      <c r="B956" s="7" t="s">
        <v>32</v>
      </c>
      <c r="C956" s="15">
        <v>45323</v>
      </c>
      <c r="D956" s="35" t="s">
        <v>33</v>
      </c>
      <c r="E956" s="7" t="s">
        <v>34</v>
      </c>
      <c r="F956" s="6"/>
    </row>
    <row r="957" spans="1:6" ht="15.75" thickBot="1" x14ac:dyDescent="0.3">
      <c r="A957" s="36"/>
      <c r="B957" s="7" t="s">
        <v>36</v>
      </c>
      <c r="C957" s="5">
        <v>1</v>
      </c>
      <c r="D957" s="36"/>
      <c r="E957" s="7" t="s">
        <v>37</v>
      </c>
      <c r="F957" s="6"/>
    </row>
    <row r="958" spans="1:6" ht="15.75" thickBot="1" x14ac:dyDescent="0.3">
      <c r="A958" s="36"/>
      <c r="B958" s="7" t="s">
        <v>39</v>
      </c>
      <c r="C958" s="15">
        <v>45381</v>
      </c>
      <c r="D958" s="36"/>
      <c r="E958" s="7" t="s">
        <v>40</v>
      </c>
      <c r="F958" s="6"/>
    </row>
    <row r="959" spans="1:6" ht="15.75" thickBot="1" x14ac:dyDescent="0.3">
      <c r="A959" s="36"/>
      <c r="B959" s="7" t="s">
        <v>36</v>
      </c>
      <c r="C959" s="5">
        <v>1</v>
      </c>
      <c r="D959" s="36"/>
      <c r="E959" s="7" t="s">
        <v>41</v>
      </c>
      <c r="F959" s="6"/>
    </row>
    <row r="960" spans="1:6" ht="15.75" thickBot="1" x14ac:dyDescent="0.3">
      <c r="A960" s="2"/>
      <c r="B960" s="2"/>
      <c r="C960" s="2"/>
      <c r="D960" s="2"/>
      <c r="E960" s="2"/>
      <c r="F960" s="2"/>
    </row>
    <row r="961" spans="1:6" ht="15.75" thickBot="1" x14ac:dyDescent="0.3">
      <c r="A961" s="12" t="s">
        <v>42</v>
      </c>
      <c r="B961" s="12" t="s">
        <v>43</v>
      </c>
      <c r="C961" s="12" t="s">
        <v>44</v>
      </c>
      <c r="D961" s="12" t="s">
        <v>45</v>
      </c>
      <c r="E961" s="12" t="s">
        <v>46</v>
      </c>
      <c r="F961" s="12" t="s">
        <v>47</v>
      </c>
    </row>
    <row r="962" spans="1:6" ht="90" x14ac:dyDescent="0.25">
      <c r="A962" s="8">
        <v>42171917</v>
      </c>
      <c r="B962" s="9" t="s">
        <v>290</v>
      </c>
      <c r="C962" s="33" t="s">
        <v>55</v>
      </c>
      <c r="D962" s="8">
        <v>1400</v>
      </c>
      <c r="E962" s="11">
        <v>1000</v>
      </c>
      <c r="F962" s="10">
        <v>1400000</v>
      </c>
    </row>
    <row r="963" spans="1:6" x14ac:dyDescent="0.25">
      <c r="A963" s="2"/>
      <c r="B963" s="2"/>
      <c r="C963" s="2"/>
      <c r="D963" s="2"/>
      <c r="E963" s="13" t="s">
        <v>87</v>
      </c>
      <c r="F963" s="14">
        <v>1400000</v>
      </c>
    </row>
    <row r="964" spans="1:6" ht="15.75" thickBot="1" x14ac:dyDescent="0.3">
      <c r="A964" s="1"/>
      <c r="B964" s="1"/>
      <c r="C964" s="1"/>
      <c r="D964" s="1"/>
      <c r="E964" s="1"/>
      <c r="F964" s="1"/>
    </row>
    <row r="965" spans="1:6" ht="34.5" thickBot="1" x14ac:dyDescent="0.3">
      <c r="A965" s="4" t="s">
        <v>19</v>
      </c>
      <c r="B965" s="4" t="s">
        <v>20</v>
      </c>
      <c r="C965" s="4" t="s">
        <v>21</v>
      </c>
      <c r="D965" s="4" t="s">
        <v>22</v>
      </c>
      <c r="E965" s="4" t="s">
        <v>23</v>
      </c>
      <c r="F965" s="4" t="s">
        <v>24</v>
      </c>
    </row>
    <row r="966" spans="1:6" ht="15.75" thickBot="1" x14ac:dyDescent="0.3">
      <c r="A966" s="32" t="s">
        <v>288</v>
      </c>
      <c r="B966" s="32" t="s">
        <v>289</v>
      </c>
      <c r="C966" s="6" t="s">
        <v>27</v>
      </c>
      <c r="D966" s="6" t="s">
        <v>28</v>
      </c>
      <c r="E966" s="32" t="s">
        <v>29</v>
      </c>
      <c r="F966" s="6"/>
    </row>
    <row r="967" spans="1:6" ht="15.75" thickBot="1" x14ac:dyDescent="0.3">
      <c r="A967" s="35" t="s">
        <v>31</v>
      </c>
      <c r="B967" s="7" t="s">
        <v>32</v>
      </c>
      <c r="C967" s="15">
        <v>45323</v>
      </c>
      <c r="D967" s="35" t="s">
        <v>33</v>
      </c>
      <c r="E967" s="7" t="s">
        <v>34</v>
      </c>
      <c r="F967" s="6"/>
    </row>
    <row r="968" spans="1:6" ht="15.75" thickBot="1" x14ac:dyDescent="0.3">
      <c r="A968" s="36"/>
      <c r="B968" s="7" t="s">
        <v>36</v>
      </c>
      <c r="C968" s="5">
        <v>1</v>
      </c>
      <c r="D968" s="36"/>
      <c r="E968" s="7" t="s">
        <v>37</v>
      </c>
      <c r="F968" s="6"/>
    </row>
    <row r="969" spans="1:6" ht="15.75" thickBot="1" x14ac:dyDescent="0.3">
      <c r="A969" s="36"/>
      <c r="B969" s="7" t="s">
        <v>39</v>
      </c>
      <c r="C969" s="15">
        <v>45381</v>
      </c>
      <c r="D969" s="36"/>
      <c r="E969" s="7" t="s">
        <v>40</v>
      </c>
      <c r="F969" s="6"/>
    </row>
    <row r="970" spans="1:6" ht="15.75" thickBot="1" x14ac:dyDescent="0.3">
      <c r="A970" s="36"/>
      <c r="B970" s="7" t="s">
        <v>36</v>
      </c>
      <c r="C970" s="5">
        <v>1</v>
      </c>
      <c r="D970" s="36"/>
      <c r="E970" s="7" t="s">
        <v>41</v>
      </c>
      <c r="F970" s="6"/>
    </row>
    <row r="971" spans="1:6" ht="15.75" thickBot="1" x14ac:dyDescent="0.3">
      <c r="A971" s="2"/>
      <c r="B971" s="2"/>
      <c r="C971" s="2"/>
      <c r="D971" s="2"/>
      <c r="E971" s="2"/>
      <c r="F971" s="2"/>
    </row>
    <row r="972" spans="1:6" ht="15.75" thickBot="1" x14ac:dyDescent="0.3">
      <c r="A972" s="12" t="s">
        <v>42</v>
      </c>
      <c r="B972" s="12" t="s">
        <v>43</v>
      </c>
      <c r="C972" s="12" t="s">
        <v>44</v>
      </c>
      <c r="D972" s="12" t="s">
        <v>45</v>
      </c>
      <c r="E972" s="12" t="s">
        <v>46</v>
      </c>
      <c r="F972" s="12" t="s">
        <v>47</v>
      </c>
    </row>
    <row r="973" spans="1:6" ht="90" x14ac:dyDescent="0.25">
      <c r="A973" s="8">
        <v>42171917</v>
      </c>
      <c r="B973" s="9" t="s">
        <v>290</v>
      </c>
      <c r="C973" s="33" t="s">
        <v>55</v>
      </c>
      <c r="D973" s="8">
        <v>1400</v>
      </c>
      <c r="E973" s="11">
        <v>1000</v>
      </c>
      <c r="F973" s="10">
        <v>1400000</v>
      </c>
    </row>
    <row r="974" spans="1:6" x14ac:dyDescent="0.25">
      <c r="A974" s="2"/>
      <c r="B974" s="2"/>
      <c r="C974" s="2"/>
      <c r="D974" s="2"/>
      <c r="E974" s="13" t="s">
        <v>87</v>
      </c>
      <c r="F974" s="14">
        <v>1400000</v>
      </c>
    </row>
    <row r="975" spans="1:6" ht="15.75" thickBot="1" x14ac:dyDescent="0.3">
      <c r="A975" s="1"/>
      <c r="B975" s="1"/>
      <c r="C975" s="1"/>
      <c r="D975" s="1"/>
      <c r="E975" s="1"/>
      <c r="F975" s="1"/>
    </row>
    <row r="976" spans="1:6" ht="34.5" thickBot="1" x14ac:dyDescent="0.3">
      <c r="A976" s="4" t="s">
        <v>19</v>
      </c>
      <c r="B976" s="4" t="s">
        <v>20</v>
      </c>
      <c r="C976" s="4" t="s">
        <v>21</v>
      </c>
      <c r="D976" s="4" t="s">
        <v>22</v>
      </c>
      <c r="E976" s="4" t="s">
        <v>23</v>
      </c>
      <c r="F976" s="4" t="s">
        <v>24</v>
      </c>
    </row>
    <row r="977" spans="1:6" ht="15.75" thickBot="1" x14ac:dyDescent="0.3">
      <c r="A977" s="32" t="s">
        <v>288</v>
      </c>
      <c r="B977" s="32" t="s">
        <v>289</v>
      </c>
      <c r="C977" s="6" t="s">
        <v>27</v>
      </c>
      <c r="D977" s="6" t="s">
        <v>28</v>
      </c>
      <c r="E977" s="32" t="s">
        <v>29</v>
      </c>
      <c r="F977" s="6"/>
    </row>
    <row r="978" spans="1:6" ht="15.75" thickBot="1" x14ac:dyDescent="0.3">
      <c r="A978" s="35" t="s">
        <v>31</v>
      </c>
      <c r="B978" s="7" t="s">
        <v>32</v>
      </c>
      <c r="C978" s="15">
        <v>45323</v>
      </c>
      <c r="D978" s="35" t="s">
        <v>33</v>
      </c>
      <c r="E978" s="7" t="s">
        <v>34</v>
      </c>
      <c r="F978" s="6"/>
    </row>
    <row r="979" spans="1:6" ht="15.75" thickBot="1" x14ac:dyDescent="0.3">
      <c r="A979" s="36"/>
      <c r="B979" s="7" t="s">
        <v>36</v>
      </c>
      <c r="C979" s="5">
        <v>1</v>
      </c>
      <c r="D979" s="36"/>
      <c r="E979" s="7" t="s">
        <v>37</v>
      </c>
      <c r="F979" s="6"/>
    </row>
    <row r="980" spans="1:6" ht="15.75" thickBot="1" x14ac:dyDescent="0.3">
      <c r="A980" s="36"/>
      <c r="B980" s="7" t="s">
        <v>39</v>
      </c>
      <c r="C980" s="15">
        <v>45381</v>
      </c>
      <c r="D980" s="36"/>
      <c r="E980" s="7" t="s">
        <v>40</v>
      </c>
      <c r="F980" s="6"/>
    </row>
    <row r="981" spans="1:6" ht="15.75" thickBot="1" x14ac:dyDescent="0.3">
      <c r="A981" s="36"/>
      <c r="B981" s="7" t="s">
        <v>36</v>
      </c>
      <c r="C981" s="5">
        <v>1</v>
      </c>
      <c r="D981" s="36"/>
      <c r="E981" s="7" t="s">
        <v>41</v>
      </c>
      <c r="F981" s="6"/>
    </row>
    <row r="982" spans="1:6" ht="15.75" thickBot="1" x14ac:dyDescent="0.3">
      <c r="A982" s="2"/>
      <c r="B982" s="2"/>
      <c r="C982" s="2"/>
      <c r="D982" s="2"/>
      <c r="E982" s="2"/>
      <c r="F982" s="2"/>
    </row>
    <row r="983" spans="1:6" ht="15.75" thickBot="1" x14ac:dyDescent="0.3">
      <c r="A983" s="12" t="s">
        <v>42</v>
      </c>
      <c r="B983" s="12" t="s">
        <v>43</v>
      </c>
      <c r="C983" s="12" t="s">
        <v>44</v>
      </c>
      <c r="D983" s="12" t="s">
        <v>45</v>
      </c>
      <c r="E983" s="12" t="s">
        <v>46</v>
      </c>
      <c r="F983" s="12" t="s">
        <v>47</v>
      </c>
    </row>
    <row r="984" spans="1:6" ht="90" x14ac:dyDescent="0.25">
      <c r="A984" s="8">
        <v>42171917</v>
      </c>
      <c r="B984" s="9" t="s">
        <v>290</v>
      </c>
      <c r="C984" s="33" t="s">
        <v>55</v>
      </c>
      <c r="D984" s="8">
        <v>1400</v>
      </c>
      <c r="E984" s="11">
        <v>1000</v>
      </c>
      <c r="F984" s="10">
        <v>1400000</v>
      </c>
    </row>
    <row r="985" spans="1:6" x14ac:dyDescent="0.25">
      <c r="A985" s="2"/>
      <c r="B985" s="2"/>
      <c r="C985" s="2"/>
      <c r="D985" s="2"/>
      <c r="E985" s="13" t="s">
        <v>87</v>
      </c>
      <c r="F985" s="14">
        <v>1400000</v>
      </c>
    </row>
    <row r="986" spans="1:6" ht="15.75" thickBot="1" x14ac:dyDescent="0.3">
      <c r="A986" s="1"/>
      <c r="B986" s="1"/>
      <c r="C986" s="1"/>
      <c r="D986" s="1"/>
      <c r="E986" s="1"/>
      <c r="F986" s="1"/>
    </row>
    <row r="987" spans="1:6" ht="34.5" thickBot="1" x14ac:dyDescent="0.3">
      <c r="A987" s="4" t="s">
        <v>19</v>
      </c>
      <c r="B987" s="4" t="s">
        <v>20</v>
      </c>
      <c r="C987" s="4" t="s">
        <v>21</v>
      </c>
      <c r="D987" s="4" t="s">
        <v>22</v>
      </c>
      <c r="E987" s="4" t="s">
        <v>23</v>
      </c>
      <c r="F987" s="4" t="s">
        <v>24</v>
      </c>
    </row>
    <row r="988" spans="1:6" ht="15.75" thickBot="1" x14ac:dyDescent="0.3">
      <c r="A988" s="32" t="s">
        <v>288</v>
      </c>
      <c r="B988" s="32" t="s">
        <v>289</v>
      </c>
      <c r="C988" s="32" t="s">
        <v>27</v>
      </c>
      <c r="D988" s="6" t="s">
        <v>28</v>
      </c>
      <c r="E988" s="32" t="s">
        <v>29</v>
      </c>
      <c r="F988" s="6"/>
    </row>
    <row r="989" spans="1:6" ht="15.75" thickBot="1" x14ac:dyDescent="0.3">
      <c r="A989" s="35" t="s">
        <v>31</v>
      </c>
      <c r="B989" s="7" t="s">
        <v>32</v>
      </c>
      <c r="C989" s="15">
        <v>45323</v>
      </c>
      <c r="D989" s="35" t="s">
        <v>33</v>
      </c>
      <c r="E989" s="7" t="s">
        <v>34</v>
      </c>
      <c r="F989" s="6"/>
    </row>
    <row r="990" spans="1:6" ht="15.75" thickBot="1" x14ac:dyDescent="0.3">
      <c r="A990" s="36"/>
      <c r="B990" s="7" t="s">
        <v>36</v>
      </c>
      <c r="C990" s="5">
        <v>1</v>
      </c>
      <c r="D990" s="36"/>
      <c r="E990" s="7" t="s">
        <v>37</v>
      </c>
      <c r="F990" s="6"/>
    </row>
    <row r="991" spans="1:6" ht="15.75" thickBot="1" x14ac:dyDescent="0.3">
      <c r="A991" s="36"/>
      <c r="B991" s="7" t="s">
        <v>39</v>
      </c>
      <c r="C991" s="15">
        <v>45381</v>
      </c>
      <c r="D991" s="36"/>
      <c r="E991" s="7" t="s">
        <v>40</v>
      </c>
      <c r="F991" s="6"/>
    </row>
    <row r="992" spans="1:6" ht="15.75" thickBot="1" x14ac:dyDescent="0.3">
      <c r="A992" s="36"/>
      <c r="B992" s="7" t="s">
        <v>36</v>
      </c>
      <c r="C992" s="5">
        <v>1</v>
      </c>
      <c r="D992" s="36"/>
      <c r="E992" s="7" t="s">
        <v>41</v>
      </c>
      <c r="F992" s="6"/>
    </row>
    <row r="993" spans="1:6" ht="15.75" thickBot="1" x14ac:dyDescent="0.3">
      <c r="A993" s="2"/>
      <c r="B993" s="2"/>
      <c r="C993" s="2"/>
      <c r="D993" s="2"/>
      <c r="E993" s="2"/>
      <c r="F993" s="2"/>
    </row>
    <row r="994" spans="1:6" ht="15.75" thickBot="1" x14ac:dyDescent="0.3">
      <c r="A994" s="12" t="s">
        <v>42</v>
      </c>
      <c r="B994" s="12" t="s">
        <v>43</v>
      </c>
      <c r="C994" s="12" t="s">
        <v>44</v>
      </c>
      <c r="D994" s="12" t="s">
        <v>45</v>
      </c>
      <c r="E994" s="12" t="s">
        <v>46</v>
      </c>
      <c r="F994" s="12" t="s">
        <v>47</v>
      </c>
    </row>
    <row r="995" spans="1:6" ht="90" x14ac:dyDescent="0.25">
      <c r="A995" s="8">
        <v>42171917</v>
      </c>
      <c r="B995" s="9" t="s">
        <v>290</v>
      </c>
      <c r="C995" s="33" t="s">
        <v>55</v>
      </c>
      <c r="D995" s="8">
        <v>1400</v>
      </c>
      <c r="E995" s="11">
        <v>1000</v>
      </c>
      <c r="F995" s="10">
        <v>1400000</v>
      </c>
    </row>
    <row r="996" spans="1:6" x14ac:dyDescent="0.25">
      <c r="A996" s="2"/>
      <c r="B996" s="2"/>
      <c r="C996" s="2"/>
      <c r="D996" s="2"/>
      <c r="E996" s="13" t="s">
        <v>87</v>
      </c>
      <c r="F996" s="14">
        <v>1400000</v>
      </c>
    </row>
    <row r="997" spans="1:6" ht="15.75" thickBot="1" x14ac:dyDescent="0.3">
      <c r="A997" s="1"/>
      <c r="B997" s="1"/>
      <c r="C997" s="1"/>
      <c r="D997" s="1"/>
      <c r="E997" s="1"/>
      <c r="F997" s="1"/>
    </row>
    <row r="998" spans="1:6" ht="34.5" thickBot="1" x14ac:dyDescent="0.3">
      <c r="A998" s="4" t="s">
        <v>19</v>
      </c>
      <c r="B998" s="4" t="s">
        <v>20</v>
      </c>
      <c r="C998" s="4" t="s">
        <v>21</v>
      </c>
      <c r="D998" s="4" t="s">
        <v>22</v>
      </c>
      <c r="E998" s="4" t="s">
        <v>23</v>
      </c>
      <c r="F998" s="4" t="s">
        <v>24</v>
      </c>
    </row>
    <row r="999" spans="1:6" ht="15.75" thickBot="1" x14ac:dyDescent="0.3">
      <c r="A999" s="32" t="s">
        <v>288</v>
      </c>
      <c r="B999" s="32" t="s">
        <v>289</v>
      </c>
      <c r="C999" s="6" t="s">
        <v>27</v>
      </c>
      <c r="D999" s="6" t="s">
        <v>28</v>
      </c>
      <c r="E999" s="32" t="s">
        <v>29</v>
      </c>
      <c r="F999" s="6"/>
    </row>
    <row r="1000" spans="1:6" ht="15.75" thickBot="1" x14ac:dyDescent="0.3">
      <c r="A1000" s="35" t="s">
        <v>31</v>
      </c>
      <c r="B1000" s="7" t="s">
        <v>32</v>
      </c>
      <c r="C1000" s="15">
        <v>45323</v>
      </c>
      <c r="D1000" s="35" t="s">
        <v>33</v>
      </c>
      <c r="E1000" s="7" t="s">
        <v>34</v>
      </c>
      <c r="F1000" s="6"/>
    </row>
    <row r="1001" spans="1:6" ht="15.75" thickBot="1" x14ac:dyDescent="0.3">
      <c r="A1001" s="36"/>
      <c r="B1001" s="7" t="s">
        <v>36</v>
      </c>
      <c r="C1001" s="5">
        <v>1</v>
      </c>
      <c r="D1001" s="36"/>
      <c r="E1001" s="7" t="s">
        <v>37</v>
      </c>
      <c r="F1001" s="6"/>
    </row>
    <row r="1002" spans="1:6" ht="15.75" thickBot="1" x14ac:dyDescent="0.3">
      <c r="A1002" s="36"/>
      <c r="B1002" s="7" t="s">
        <v>39</v>
      </c>
      <c r="C1002" s="15">
        <v>45381</v>
      </c>
      <c r="D1002" s="36"/>
      <c r="E1002" s="7" t="s">
        <v>40</v>
      </c>
      <c r="F1002" s="6"/>
    </row>
    <row r="1003" spans="1:6" ht="15.75" thickBot="1" x14ac:dyDescent="0.3">
      <c r="A1003" s="36"/>
      <c r="B1003" s="7" t="s">
        <v>36</v>
      </c>
      <c r="C1003" s="5">
        <v>1</v>
      </c>
      <c r="D1003" s="36"/>
      <c r="E1003" s="7" t="s">
        <v>41</v>
      </c>
      <c r="F1003" s="6"/>
    </row>
    <row r="1004" spans="1:6" ht="15.75" thickBot="1" x14ac:dyDescent="0.3">
      <c r="A1004" s="2"/>
      <c r="B1004" s="2"/>
      <c r="C1004" s="2"/>
      <c r="D1004" s="2"/>
      <c r="E1004" s="2"/>
      <c r="F1004" s="2"/>
    </row>
    <row r="1005" spans="1:6" ht="15.75" thickBot="1" x14ac:dyDescent="0.3">
      <c r="A1005" s="12" t="s">
        <v>42</v>
      </c>
      <c r="B1005" s="12" t="s">
        <v>43</v>
      </c>
      <c r="C1005" s="12" t="s">
        <v>44</v>
      </c>
      <c r="D1005" s="12" t="s">
        <v>45</v>
      </c>
      <c r="E1005" s="12" t="s">
        <v>46</v>
      </c>
      <c r="F1005" s="12" t="s">
        <v>47</v>
      </c>
    </row>
    <row r="1006" spans="1:6" ht="90" x14ac:dyDescent="0.25">
      <c r="A1006" s="8">
        <v>42171917</v>
      </c>
      <c r="B1006" s="9" t="s">
        <v>290</v>
      </c>
      <c r="C1006" s="33" t="s">
        <v>55</v>
      </c>
      <c r="D1006" s="8">
        <v>1400</v>
      </c>
      <c r="E1006" s="11">
        <v>1000</v>
      </c>
      <c r="F1006" s="10">
        <v>1400000</v>
      </c>
    </row>
    <row r="1007" spans="1:6" x14ac:dyDescent="0.25">
      <c r="A1007" s="2"/>
      <c r="B1007" s="2"/>
      <c r="C1007" s="2"/>
      <c r="D1007" s="2"/>
      <c r="E1007" s="13" t="s">
        <v>87</v>
      </c>
      <c r="F1007" s="14">
        <v>1400000</v>
      </c>
    </row>
    <row r="1008" spans="1:6" ht="15.75" thickBot="1" x14ac:dyDescent="0.3">
      <c r="A1008" s="1"/>
      <c r="B1008" s="1"/>
      <c r="C1008" s="1"/>
      <c r="D1008" s="1"/>
      <c r="E1008" s="1"/>
      <c r="F1008" s="1"/>
    </row>
    <row r="1009" spans="1:6" ht="34.5" thickBot="1" x14ac:dyDescent="0.3">
      <c r="A1009" s="4" t="s">
        <v>19</v>
      </c>
      <c r="B1009" s="4" t="s">
        <v>20</v>
      </c>
      <c r="C1009" s="4" t="s">
        <v>21</v>
      </c>
      <c r="D1009" s="4" t="s">
        <v>22</v>
      </c>
      <c r="E1009" s="4" t="s">
        <v>23</v>
      </c>
      <c r="F1009" s="4" t="s">
        <v>24</v>
      </c>
    </row>
    <row r="1010" spans="1:6" ht="15.75" thickBot="1" x14ac:dyDescent="0.3">
      <c r="A1010" s="32" t="s">
        <v>291</v>
      </c>
      <c r="B1010" s="32" t="s">
        <v>292</v>
      </c>
      <c r="C1010" s="32" t="s">
        <v>129</v>
      </c>
      <c r="D1010" s="6" t="s">
        <v>28</v>
      </c>
      <c r="E1010" s="32" t="s">
        <v>262</v>
      </c>
      <c r="F1010" s="6"/>
    </row>
    <row r="1011" spans="1:6" ht="15.75" thickBot="1" x14ac:dyDescent="0.3">
      <c r="A1011" s="35" t="s">
        <v>31</v>
      </c>
      <c r="B1011" s="7" t="s">
        <v>32</v>
      </c>
      <c r="C1011" s="15">
        <v>45323</v>
      </c>
      <c r="D1011" s="35" t="s">
        <v>33</v>
      </c>
      <c r="E1011" s="7" t="s">
        <v>34</v>
      </c>
      <c r="F1011" s="6"/>
    </row>
    <row r="1012" spans="1:6" ht="15.75" thickBot="1" x14ac:dyDescent="0.3">
      <c r="A1012" s="36"/>
      <c r="B1012" s="7" t="s">
        <v>36</v>
      </c>
      <c r="C1012" s="5">
        <v>1</v>
      </c>
      <c r="D1012" s="36"/>
      <c r="E1012" s="7" t="s">
        <v>37</v>
      </c>
      <c r="F1012" s="6"/>
    </row>
    <row r="1013" spans="1:6" ht="15.75" thickBot="1" x14ac:dyDescent="0.3">
      <c r="A1013" s="36"/>
      <c r="B1013" s="7" t="s">
        <v>39</v>
      </c>
      <c r="C1013" s="15">
        <v>45381</v>
      </c>
      <c r="D1013" s="36"/>
      <c r="E1013" s="7" t="s">
        <v>40</v>
      </c>
      <c r="F1013" s="6"/>
    </row>
    <row r="1014" spans="1:6" ht="15.75" thickBot="1" x14ac:dyDescent="0.3">
      <c r="A1014" s="36"/>
      <c r="B1014" s="7" t="s">
        <v>36</v>
      </c>
      <c r="C1014" s="5">
        <v>1</v>
      </c>
      <c r="D1014" s="36"/>
      <c r="E1014" s="7" t="s">
        <v>41</v>
      </c>
      <c r="F1014" s="6"/>
    </row>
    <row r="1015" spans="1:6" ht="15.75" thickBot="1" x14ac:dyDescent="0.3">
      <c r="A1015" s="2"/>
      <c r="B1015" s="2"/>
      <c r="C1015" s="2"/>
      <c r="D1015" s="2"/>
      <c r="E1015" s="2"/>
      <c r="F1015" s="2"/>
    </row>
    <row r="1016" spans="1:6" ht="15.75" thickBot="1" x14ac:dyDescent="0.3">
      <c r="A1016" s="12" t="s">
        <v>42</v>
      </c>
      <c r="B1016" s="12" t="s">
        <v>43</v>
      </c>
      <c r="C1016" s="12" t="s">
        <v>44</v>
      </c>
      <c r="D1016" s="12" t="s">
        <v>45</v>
      </c>
      <c r="E1016" s="12" t="s">
        <v>46</v>
      </c>
      <c r="F1016" s="12" t="s">
        <v>47</v>
      </c>
    </row>
    <row r="1017" spans="1:6" ht="22.5" x14ac:dyDescent="0.25">
      <c r="A1017" s="8">
        <v>90101603</v>
      </c>
      <c r="B1017" s="9" t="s">
        <v>293</v>
      </c>
      <c r="C1017" s="8" t="s">
        <v>55</v>
      </c>
      <c r="D1017" s="8">
        <v>1</v>
      </c>
      <c r="E1017" s="11">
        <v>465000</v>
      </c>
      <c r="F1017" s="10">
        <v>465000</v>
      </c>
    </row>
    <row r="1018" spans="1:6" ht="33.75" x14ac:dyDescent="0.25">
      <c r="A1018" s="8">
        <v>90101802</v>
      </c>
      <c r="B1018" s="9" t="s">
        <v>223</v>
      </c>
      <c r="C1018" s="33" t="s">
        <v>55</v>
      </c>
      <c r="D1018" s="8">
        <v>1</v>
      </c>
      <c r="E1018" s="11">
        <v>895000</v>
      </c>
      <c r="F1018" s="10">
        <v>895000</v>
      </c>
    </row>
    <row r="1019" spans="1:6" x14ac:dyDescent="0.25">
      <c r="A1019" s="2"/>
      <c r="B1019" s="2"/>
      <c r="C1019" s="2"/>
      <c r="D1019" s="2"/>
      <c r="E1019" s="13" t="s">
        <v>87</v>
      </c>
      <c r="F1019" s="14">
        <v>1360000</v>
      </c>
    </row>
    <row r="1020" spans="1:6" ht="15.75" thickBot="1" x14ac:dyDescent="0.3">
      <c r="A1020" s="1"/>
      <c r="B1020" s="1"/>
      <c r="C1020" s="1"/>
      <c r="D1020" s="1"/>
      <c r="E1020" s="1"/>
      <c r="F1020" s="1"/>
    </row>
    <row r="1021" spans="1:6" ht="34.5" thickBot="1" x14ac:dyDescent="0.3">
      <c r="A1021" s="4" t="s">
        <v>19</v>
      </c>
      <c r="B1021" s="4" t="s">
        <v>20</v>
      </c>
      <c r="C1021" s="4" t="s">
        <v>21</v>
      </c>
      <c r="D1021" s="4" t="s">
        <v>22</v>
      </c>
      <c r="E1021" s="4" t="s">
        <v>23</v>
      </c>
      <c r="F1021" s="4" t="s">
        <v>24</v>
      </c>
    </row>
    <row r="1022" spans="1:6" ht="15.75" thickBot="1" x14ac:dyDescent="0.3">
      <c r="A1022" s="32" t="s">
        <v>219</v>
      </c>
      <c r="B1022" s="32" t="s">
        <v>294</v>
      </c>
      <c r="C1022" s="32" t="s">
        <v>129</v>
      </c>
      <c r="D1022" s="6" t="s">
        <v>28</v>
      </c>
      <c r="E1022" s="32" t="s">
        <v>262</v>
      </c>
      <c r="F1022" s="6"/>
    </row>
    <row r="1023" spans="1:6" ht="15.75" thickBot="1" x14ac:dyDescent="0.3">
      <c r="A1023" s="35" t="s">
        <v>31</v>
      </c>
      <c r="B1023" s="7" t="s">
        <v>32</v>
      </c>
      <c r="C1023" s="15">
        <v>45323</v>
      </c>
      <c r="D1023" s="35" t="s">
        <v>33</v>
      </c>
      <c r="E1023" s="7" t="s">
        <v>34</v>
      </c>
      <c r="F1023" s="6"/>
    </row>
    <row r="1024" spans="1:6" ht="15.75" thickBot="1" x14ac:dyDescent="0.3">
      <c r="A1024" s="36"/>
      <c r="B1024" s="7" t="s">
        <v>36</v>
      </c>
      <c r="C1024" s="5">
        <v>1</v>
      </c>
      <c r="D1024" s="36"/>
      <c r="E1024" s="7" t="s">
        <v>37</v>
      </c>
      <c r="F1024" s="6"/>
    </row>
    <row r="1025" spans="1:6" ht="15.75" thickBot="1" x14ac:dyDescent="0.3">
      <c r="A1025" s="36"/>
      <c r="B1025" s="7" t="s">
        <v>39</v>
      </c>
      <c r="C1025" s="15">
        <v>45381</v>
      </c>
      <c r="D1025" s="36"/>
      <c r="E1025" s="7" t="s">
        <v>40</v>
      </c>
      <c r="F1025" s="6"/>
    </row>
    <row r="1026" spans="1:6" ht="15.75" thickBot="1" x14ac:dyDescent="0.3">
      <c r="A1026" s="36"/>
      <c r="B1026" s="7" t="s">
        <v>36</v>
      </c>
      <c r="C1026" s="5">
        <v>1</v>
      </c>
      <c r="D1026" s="36"/>
      <c r="E1026" s="7" t="s">
        <v>41</v>
      </c>
      <c r="F1026" s="6"/>
    </row>
    <row r="1027" spans="1:6" ht="15.75" thickBot="1" x14ac:dyDescent="0.3">
      <c r="A1027" s="2"/>
      <c r="B1027" s="2"/>
      <c r="C1027" s="2"/>
      <c r="D1027" s="2"/>
      <c r="E1027" s="2"/>
      <c r="F1027" s="2"/>
    </row>
    <row r="1028" spans="1:6" ht="15.75" thickBot="1" x14ac:dyDescent="0.3">
      <c r="A1028" s="12" t="s">
        <v>42</v>
      </c>
      <c r="B1028" s="12" t="s">
        <v>43</v>
      </c>
      <c r="C1028" s="12" t="s">
        <v>44</v>
      </c>
      <c r="D1028" s="12" t="s">
        <v>45</v>
      </c>
      <c r="E1028" s="12" t="s">
        <v>46</v>
      </c>
      <c r="F1028" s="12" t="s">
        <v>47</v>
      </c>
    </row>
    <row r="1029" spans="1:6" ht="22.5" x14ac:dyDescent="0.25">
      <c r="A1029" s="8">
        <v>80141607</v>
      </c>
      <c r="B1029" s="9" t="s">
        <v>156</v>
      </c>
      <c r="C1029" s="8" t="s">
        <v>55</v>
      </c>
      <c r="D1029" s="8">
        <v>1</v>
      </c>
      <c r="E1029" s="11">
        <v>1295000</v>
      </c>
      <c r="F1029" s="10">
        <v>1295000</v>
      </c>
    </row>
    <row r="1030" spans="1:6" x14ac:dyDescent="0.25">
      <c r="A1030" s="2"/>
      <c r="B1030" s="2"/>
      <c r="C1030" s="2"/>
      <c r="D1030" s="2"/>
      <c r="E1030" s="13" t="s">
        <v>87</v>
      </c>
      <c r="F1030" s="14">
        <v>1295000</v>
      </c>
    </row>
    <row r="1031" spans="1:6" ht="15.75" thickBot="1" x14ac:dyDescent="0.3">
      <c r="A1031" s="1"/>
      <c r="B1031" s="1"/>
      <c r="C1031" s="1"/>
      <c r="D1031" s="1"/>
      <c r="E1031" s="1"/>
      <c r="F1031" s="1"/>
    </row>
    <row r="1032" spans="1:6" ht="34.5" thickBot="1" x14ac:dyDescent="0.3">
      <c r="A1032" s="4" t="s">
        <v>19</v>
      </c>
      <c r="B1032" s="4" t="s">
        <v>20</v>
      </c>
      <c r="C1032" s="4" t="s">
        <v>21</v>
      </c>
      <c r="D1032" s="4" t="s">
        <v>22</v>
      </c>
      <c r="E1032" s="4" t="s">
        <v>23</v>
      </c>
      <c r="F1032" s="4" t="s">
        <v>24</v>
      </c>
    </row>
    <row r="1033" spans="1:6" ht="15.75" thickBot="1" x14ac:dyDescent="0.3">
      <c r="A1033" s="32" t="s">
        <v>295</v>
      </c>
      <c r="B1033" s="32" t="s">
        <v>296</v>
      </c>
      <c r="C1033" s="32" t="s">
        <v>129</v>
      </c>
      <c r="D1033" s="6" t="s">
        <v>28</v>
      </c>
      <c r="E1033" s="32" t="s">
        <v>262</v>
      </c>
      <c r="F1033" s="6"/>
    </row>
    <row r="1034" spans="1:6" ht="15.75" thickBot="1" x14ac:dyDescent="0.3">
      <c r="A1034" s="35" t="s">
        <v>31</v>
      </c>
      <c r="B1034" s="7" t="s">
        <v>32</v>
      </c>
      <c r="C1034" s="15">
        <v>45323</v>
      </c>
      <c r="D1034" s="35" t="s">
        <v>33</v>
      </c>
      <c r="E1034" s="7" t="s">
        <v>34</v>
      </c>
      <c r="F1034" s="6"/>
    </row>
    <row r="1035" spans="1:6" ht="15.75" thickBot="1" x14ac:dyDescent="0.3">
      <c r="A1035" s="36"/>
      <c r="B1035" s="7" t="s">
        <v>36</v>
      </c>
      <c r="C1035" s="5">
        <v>1</v>
      </c>
      <c r="D1035" s="36"/>
      <c r="E1035" s="7" t="s">
        <v>37</v>
      </c>
      <c r="F1035" s="6"/>
    </row>
    <row r="1036" spans="1:6" ht="15.75" thickBot="1" x14ac:dyDescent="0.3">
      <c r="A1036" s="36"/>
      <c r="B1036" s="7" t="s">
        <v>39</v>
      </c>
      <c r="C1036" s="15">
        <v>45381</v>
      </c>
      <c r="D1036" s="36"/>
      <c r="E1036" s="7" t="s">
        <v>40</v>
      </c>
      <c r="F1036" s="6"/>
    </row>
    <row r="1037" spans="1:6" ht="15.75" thickBot="1" x14ac:dyDescent="0.3">
      <c r="A1037" s="36"/>
      <c r="B1037" s="7" t="s">
        <v>36</v>
      </c>
      <c r="C1037" s="5">
        <v>1</v>
      </c>
      <c r="D1037" s="36"/>
      <c r="E1037" s="7" t="s">
        <v>41</v>
      </c>
      <c r="F1037" s="6"/>
    </row>
    <row r="1038" spans="1:6" ht="15.75" thickBot="1" x14ac:dyDescent="0.3">
      <c r="A1038" s="2"/>
      <c r="B1038" s="2"/>
      <c r="C1038" s="2"/>
      <c r="D1038" s="2"/>
      <c r="E1038" s="2"/>
      <c r="F1038" s="2"/>
    </row>
    <row r="1039" spans="1:6" ht="15.75" thickBot="1" x14ac:dyDescent="0.3">
      <c r="A1039" s="12" t="s">
        <v>42</v>
      </c>
      <c r="B1039" s="12" t="s">
        <v>43</v>
      </c>
      <c r="C1039" s="12" t="s">
        <v>44</v>
      </c>
      <c r="D1039" s="12" t="s">
        <v>45</v>
      </c>
      <c r="E1039" s="12" t="s">
        <v>46</v>
      </c>
      <c r="F1039" s="12" t="s">
        <v>47</v>
      </c>
    </row>
    <row r="1040" spans="1:6" ht="22.5" x14ac:dyDescent="0.25">
      <c r="A1040" s="8">
        <v>80141607</v>
      </c>
      <c r="B1040" s="9" t="s">
        <v>156</v>
      </c>
      <c r="C1040" s="8" t="s">
        <v>55</v>
      </c>
      <c r="D1040" s="8">
        <v>1</v>
      </c>
      <c r="E1040" s="11">
        <v>1315000</v>
      </c>
      <c r="F1040" s="10">
        <v>1315000</v>
      </c>
    </row>
    <row r="1041" spans="1:6" x14ac:dyDescent="0.25">
      <c r="A1041" s="2"/>
      <c r="B1041" s="2"/>
      <c r="C1041" s="2"/>
      <c r="D1041" s="2"/>
      <c r="E1041" s="13" t="s">
        <v>87</v>
      </c>
      <c r="F1041" s="14">
        <v>1315000</v>
      </c>
    </row>
    <row r="1042" spans="1:6" ht="15.75" thickBot="1" x14ac:dyDescent="0.3">
      <c r="A1042" s="1"/>
      <c r="B1042" s="1"/>
      <c r="C1042" s="1"/>
      <c r="D1042" s="1"/>
      <c r="E1042" s="1"/>
      <c r="F1042" s="1"/>
    </row>
    <row r="1043" spans="1:6" ht="34.5" thickBot="1" x14ac:dyDescent="0.3">
      <c r="A1043" s="4" t="s">
        <v>19</v>
      </c>
      <c r="B1043" s="4" t="s">
        <v>20</v>
      </c>
      <c r="C1043" s="4" t="s">
        <v>21</v>
      </c>
      <c r="D1043" s="4" t="s">
        <v>22</v>
      </c>
      <c r="E1043" s="4" t="s">
        <v>23</v>
      </c>
      <c r="F1043" s="4" t="s">
        <v>24</v>
      </c>
    </row>
    <row r="1044" spans="1:6" ht="15.75" thickBot="1" x14ac:dyDescent="0.3">
      <c r="A1044" s="32" t="s">
        <v>219</v>
      </c>
      <c r="B1044" s="32" t="s">
        <v>294</v>
      </c>
      <c r="C1044" s="32" t="s">
        <v>129</v>
      </c>
      <c r="D1044" s="6" t="s">
        <v>28</v>
      </c>
      <c r="E1044" s="32" t="s">
        <v>262</v>
      </c>
      <c r="F1044" s="6"/>
    </row>
    <row r="1045" spans="1:6" ht="15.75" thickBot="1" x14ac:dyDescent="0.3">
      <c r="A1045" s="35" t="s">
        <v>31</v>
      </c>
      <c r="B1045" s="7" t="s">
        <v>32</v>
      </c>
      <c r="C1045" s="15">
        <v>45323</v>
      </c>
      <c r="D1045" s="35" t="s">
        <v>33</v>
      </c>
      <c r="E1045" s="7" t="s">
        <v>34</v>
      </c>
      <c r="F1045" s="6"/>
    </row>
    <row r="1046" spans="1:6" ht="15.75" thickBot="1" x14ac:dyDescent="0.3">
      <c r="A1046" s="36"/>
      <c r="B1046" s="7" t="s">
        <v>36</v>
      </c>
      <c r="C1046" s="5">
        <v>1</v>
      </c>
      <c r="D1046" s="36"/>
      <c r="E1046" s="7" t="s">
        <v>37</v>
      </c>
      <c r="F1046" s="6"/>
    </row>
    <row r="1047" spans="1:6" ht="15.75" thickBot="1" x14ac:dyDescent="0.3">
      <c r="A1047" s="36"/>
      <c r="B1047" s="7" t="s">
        <v>39</v>
      </c>
      <c r="C1047" s="15">
        <v>45381</v>
      </c>
      <c r="D1047" s="36"/>
      <c r="E1047" s="7" t="s">
        <v>40</v>
      </c>
      <c r="F1047" s="6"/>
    </row>
    <row r="1048" spans="1:6" ht="15.75" thickBot="1" x14ac:dyDescent="0.3">
      <c r="A1048" s="36"/>
      <c r="B1048" s="7" t="s">
        <v>36</v>
      </c>
      <c r="C1048" s="5">
        <v>1</v>
      </c>
      <c r="D1048" s="36"/>
      <c r="E1048" s="7" t="s">
        <v>41</v>
      </c>
      <c r="F1048" s="6"/>
    </row>
    <row r="1049" spans="1:6" ht="15.75" thickBot="1" x14ac:dyDescent="0.3">
      <c r="A1049" s="2"/>
      <c r="B1049" s="2"/>
      <c r="C1049" s="2"/>
      <c r="D1049" s="2"/>
      <c r="E1049" s="2"/>
      <c r="F1049" s="2"/>
    </row>
    <row r="1050" spans="1:6" ht="15.75" thickBot="1" x14ac:dyDescent="0.3">
      <c r="A1050" s="12" t="s">
        <v>42</v>
      </c>
      <c r="B1050" s="12" t="s">
        <v>43</v>
      </c>
      <c r="C1050" s="12" t="s">
        <v>44</v>
      </c>
      <c r="D1050" s="12" t="s">
        <v>45</v>
      </c>
      <c r="E1050" s="12" t="s">
        <v>46</v>
      </c>
      <c r="F1050" s="12" t="s">
        <v>47</v>
      </c>
    </row>
    <row r="1051" spans="1:6" ht="22.5" x14ac:dyDescent="0.25">
      <c r="A1051" s="8">
        <v>80141607</v>
      </c>
      <c r="B1051" s="9" t="s">
        <v>156</v>
      </c>
      <c r="C1051" s="8" t="s">
        <v>55</v>
      </c>
      <c r="D1051" s="8">
        <v>1</v>
      </c>
      <c r="E1051" s="11">
        <v>1350000</v>
      </c>
      <c r="F1051" s="10">
        <v>1350000</v>
      </c>
    </row>
    <row r="1052" spans="1:6" x14ac:dyDescent="0.25">
      <c r="A1052" s="2"/>
      <c r="B1052" s="2"/>
      <c r="C1052" s="2"/>
      <c r="D1052" s="2"/>
      <c r="E1052" s="13" t="s">
        <v>87</v>
      </c>
      <c r="F1052" s="14">
        <v>1350000</v>
      </c>
    </row>
    <row r="1053" spans="1:6" ht="15.75" thickBot="1" x14ac:dyDescent="0.3">
      <c r="A1053" s="1"/>
      <c r="B1053" s="1"/>
      <c r="C1053" s="1"/>
      <c r="D1053" s="1"/>
      <c r="E1053" s="1"/>
      <c r="F1053" s="1"/>
    </row>
    <row r="1054" spans="1:6" ht="34.5" thickBot="1" x14ac:dyDescent="0.3">
      <c r="A1054" s="4" t="s">
        <v>19</v>
      </c>
      <c r="B1054" s="4" t="s">
        <v>20</v>
      </c>
      <c r="C1054" s="4" t="s">
        <v>21</v>
      </c>
      <c r="D1054" s="4" t="s">
        <v>22</v>
      </c>
      <c r="E1054" s="4" t="s">
        <v>23</v>
      </c>
      <c r="F1054" s="4" t="s">
        <v>24</v>
      </c>
    </row>
    <row r="1055" spans="1:6" ht="15.75" thickBot="1" x14ac:dyDescent="0.3">
      <c r="A1055" s="32" t="s">
        <v>295</v>
      </c>
      <c r="B1055" s="32" t="s">
        <v>296</v>
      </c>
      <c r="C1055" s="32" t="s">
        <v>129</v>
      </c>
      <c r="D1055" s="6" t="s">
        <v>28</v>
      </c>
      <c r="E1055" s="32" t="s">
        <v>262</v>
      </c>
      <c r="F1055" s="6"/>
    </row>
    <row r="1056" spans="1:6" ht="15.75" thickBot="1" x14ac:dyDescent="0.3">
      <c r="A1056" s="35" t="s">
        <v>31</v>
      </c>
      <c r="B1056" s="7" t="s">
        <v>32</v>
      </c>
      <c r="C1056" s="15">
        <v>45323</v>
      </c>
      <c r="D1056" s="35" t="s">
        <v>33</v>
      </c>
      <c r="E1056" s="7" t="s">
        <v>34</v>
      </c>
      <c r="F1056" s="6"/>
    </row>
    <row r="1057" spans="1:6" ht="15.75" thickBot="1" x14ac:dyDescent="0.3">
      <c r="A1057" s="36"/>
      <c r="B1057" s="7" t="s">
        <v>36</v>
      </c>
      <c r="C1057" s="5">
        <v>1</v>
      </c>
      <c r="D1057" s="36"/>
      <c r="E1057" s="7" t="s">
        <v>37</v>
      </c>
      <c r="F1057" s="6"/>
    </row>
    <row r="1058" spans="1:6" ht="15.75" thickBot="1" x14ac:dyDescent="0.3">
      <c r="A1058" s="36"/>
      <c r="B1058" s="7" t="s">
        <v>39</v>
      </c>
      <c r="C1058" s="15">
        <v>45381</v>
      </c>
      <c r="D1058" s="36"/>
      <c r="E1058" s="7" t="s">
        <v>40</v>
      </c>
      <c r="F1058" s="6"/>
    </row>
    <row r="1059" spans="1:6" ht="15.75" thickBot="1" x14ac:dyDescent="0.3">
      <c r="A1059" s="36"/>
      <c r="B1059" s="7" t="s">
        <v>36</v>
      </c>
      <c r="C1059" s="5">
        <v>1</v>
      </c>
      <c r="D1059" s="36"/>
      <c r="E1059" s="7" t="s">
        <v>41</v>
      </c>
      <c r="F1059" s="6"/>
    </row>
    <row r="1060" spans="1:6" ht="15.75" thickBot="1" x14ac:dyDescent="0.3">
      <c r="A1060" s="2"/>
      <c r="B1060" s="2"/>
      <c r="C1060" s="2"/>
      <c r="D1060" s="2"/>
      <c r="E1060" s="2"/>
      <c r="F1060" s="2"/>
    </row>
    <row r="1061" spans="1:6" ht="15.75" thickBot="1" x14ac:dyDescent="0.3">
      <c r="A1061" s="12" t="s">
        <v>42</v>
      </c>
      <c r="B1061" s="12" t="s">
        <v>43</v>
      </c>
      <c r="C1061" s="12" t="s">
        <v>44</v>
      </c>
      <c r="D1061" s="12" t="s">
        <v>45</v>
      </c>
      <c r="E1061" s="12" t="s">
        <v>46</v>
      </c>
      <c r="F1061" s="12" t="s">
        <v>47</v>
      </c>
    </row>
    <row r="1062" spans="1:6" ht="22.5" x14ac:dyDescent="0.25">
      <c r="A1062" s="8">
        <v>80141607</v>
      </c>
      <c r="B1062" s="9" t="s">
        <v>156</v>
      </c>
      <c r="C1062" s="8" t="s">
        <v>55</v>
      </c>
      <c r="D1062" s="8">
        <v>1</v>
      </c>
      <c r="E1062" s="11">
        <v>1450000</v>
      </c>
      <c r="F1062" s="10">
        <v>1450000</v>
      </c>
    </row>
    <row r="1063" spans="1:6" x14ac:dyDescent="0.25">
      <c r="A1063" s="2"/>
      <c r="B1063" s="2"/>
      <c r="C1063" s="2"/>
      <c r="D1063" s="2"/>
      <c r="E1063" s="13" t="s">
        <v>87</v>
      </c>
      <c r="F1063" s="14">
        <v>1450000</v>
      </c>
    </row>
    <row r="1064" spans="1:6" ht="15.75" thickBot="1" x14ac:dyDescent="0.3">
      <c r="A1064" s="1"/>
      <c r="B1064" s="1"/>
      <c r="C1064" s="1"/>
      <c r="D1064" s="1"/>
      <c r="E1064" s="1"/>
      <c r="F1064" s="1"/>
    </row>
    <row r="1065" spans="1:6" ht="34.5" thickBot="1" x14ac:dyDescent="0.3">
      <c r="A1065" s="4" t="s">
        <v>19</v>
      </c>
      <c r="B1065" s="4" t="s">
        <v>20</v>
      </c>
      <c r="C1065" s="4" t="s">
        <v>21</v>
      </c>
      <c r="D1065" s="4" t="s">
        <v>22</v>
      </c>
      <c r="E1065" s="4" t="s">
        <v>23</v>
      </c>
      <c r="F1065" s="4" t="s">
        <v>24</v>
      </c>
    </row>
    <row r="1066" spans="1:6" ht="15.75" thickBot="1" x14ac:dyDescent="0.3">
      <c r="A1066" s="32" t="s">
        <v>297</v>
      </c>
      <c r="B1066" s="32" t="s">
        <v>298</v>
      </c>
      <c r="C1066" s="32" t="s">
        <v>129</v>
      </c>
      <c r="D1066" s="6" t="s">
        <v>188</v>
      </c>
      <c r="E1066" s="32" t="s">
        <v>262</v>
      </c>
      <c r="F1066" s="6"/>
    </row>
    <row r="1067" spans="1:6" ht="15.75" thickBot="1" x14ac:dyDescent="0.3">
      <c r="A1067" s="35" t="s">
        <v>31</v>
      </c>
      <c r="B1067" s="7" t="s">
        <v>32</v>
      </c>
      <c r="C1067" s="15">
        <v>45323</v>
      </c>
      <c r="D1067" s="35" t="s">
        <v>33</v>
      </c>
      <c r="E1067" s="7" t="s">
        <v>34</v>
      </c>
      <c r="F1067" s="6"/>
    </row>
    <row r="1068" spans="1:6" ht="15.75" thickBot="1" x14ac:dyDescent="0.3">
      <c r="A1068" s="36"/>
      <c r="B1068" s="7" t="s">
        <v>36</v>
      </c>
      <c r="C1068" s="5">
        <v>1</v>
      </c>
      <c r="D1068" s="36"/>
      <c r="E1068" s="7" t="s">
        <v>37</v>
      </c>
      <c r="F1068" s="6"/>
    </row>
    <row r="1069" spans="1:6" ht="15.75" thickBot="1" x14ac:dyDescent="0.3">
      <c r="A1069" s="36"/>
      <c r="B1069" s="7" t="s">
        <v>39</v>
      </c>
      <c r="C1069" s="15">
        <v>45381</v>
      </c>
      <c r="D1069" s="36"/>
      <c r="E1069" s="7" t="s">
        <v>40</v>
      </c>
      <c r="F1069" s="6"/>
    </row>
    <row r="1070" spans="1:6" ht="15.75" thickBot="1" x14ac:dyDescent="0.3">
      <c r="A1070" s="36"/>
      <c r="B1070" s="7" t="s">
        <v>36</v>
      </c>
      <c r="C1070" s="5">
        <v>1</v>
      </c>
      <c r="D1070" s="36"/>
      <c r="E1070" s="7" t="s">
        <v>41</v>
      </c>
      <c r="F1070" s="6"/>
    </row>
    <row r="1071" spans="1:6" ht="15.75" thickBot="1" x14ac:dyDescent="0.3">
      <c r="A1071" s="2"/>
      <c r="B1071" s="2"/>
      <c r="C1071" s="2"/>
      <c r="D1071" s="2"/>
      <c r="E1071" s="2"/>
      <c r="F1071" s="2"/>
    </row>
    <row r="1072" spans="1:6" ht="15.75" thickBot="1" x14ac:dyDescent="0.3">
      <c r="A1072" s="12" t="s">
        <v>42</v>
      </c>
      <c r="B1072" s="12" t="s">
        <v>43</v>
      </c>
      <c r="C1072" s="12" t="s">
        <v>44</v>
      </c>
      <c r="D1072" s="12" t="s">
        <v>45</v>
      </c>
      <c r="E1072" s="12" t="s">
        <v>46</v>
      </c>
      <c r="F1072" s="12" t="s">
        <v>47</v>
      </c>
    </row>
    <row r="1073" spans="1:6" ht="33.75" x14ac:dyDescent="0.25">
      <c r="A1073" s="8">
        <v>72101601</v>
      </c>
      <c r="B1073" s="9" t="s">
        <v>299</v>
      </c>
      <c r="C1073" s="8" t="s">
        <v>55</v>
      </c>
      <c r="D1073" s="8">
        <v>1</v>
      </c>
      <c r="E1073" s="11">
        <v>198000</v>
      </c>
      <c r="F1073" s="10">
        <v>198000</v>
      </c>
    </row>
    <row r="1074" spans="1:6" x14ac:dyDescent="0.25">
      <c r="A1074" s="2"/>
      <c r="B1074" s="2"/>
      <c r="C1074" s="2"/>
      <c r="D1074" s="2"/>
      <c r="E1074" s="13" t="s">
        <v>87</v>
      </c>
      <c r="F1074" s="14">
        <v>198000</v>
      </c>
    </row>
    <row r="1075" spans="1:6" ht="15.75" thickBot="1" x14ac:dyDescent="0.3">
      <c r="A1075" s="1"/>
      <c r="B1075" s="1"/>
      <c r="C1075" s="1"/>
      <c r="D1075" s="1"/>
      <c r="E1075" s="1"/>
      <c r="F1075" s="1"/>
    </row>
    <row r="1076" spans="1:6" ht="34.5" thickBot="1" x14ac:dyDescent="0.3">
      <c r="A1076" s="4" t="s">
        <v>19</v>
      </c>
      <c r="B1076" s="4" t="s">
        <v>20</v>
      </c>
      <c r="C1076" s="4" t="s">
        <v>21</v>
      </c>
      <c r="D1076" s="4" t="s">
        <v>22</v>
      </c>
      <c r="E1076" s="4" t="s">
        <v>23</v>
      </c>
      <c r="F1076" s="4" t="s">
        <v>24</v>
      </c>
    </row>
    <row r="1077" spans="1:6" ht="15.75" thickBot="1" x14ac:dyDescent="0.3">
      <c r="A1077" s="32" t="s">
        <v>300</v>
      </c>
      <c r="B1077" s="32" t="s">
        <v>301</v>
      </c>
      <c r="C1077" s="32" t="s">
        <v>129</v>
      </c>
      <c r="D1077" s="6" t="s">
        <v>188</v>
      </c>
      <c r="E1077" s="32" t="s">
        <v>262</v>
      </c>
      <c r="F1077" s="6"/>
    </row>
    <row r="1078" spans="1:6" ht="15.75" thickBot="1" x14ac:dyDescent="0.3">
      <c r="A1078" s="35" t="s">
        <v>31</v>
      </c>
      <c r="B1078" s="7" t="s">
        <v>32</v>
      </c>
      <c r="C1078" s="15">
        <v>45323</v>
      </c>
      <c r="D1078" s="35" t="s">
        <v>33</v>
      </c>
      <c r="E1078" s="7" t="s">
        <v>34</v>
      </c>
      <c r="F1078" s="6"/>
    </row>
    <row r="1079" spans="1:6" ht="15.75" thickBot="1" x14ac:dyDescent="0.3">
      <c r="A1079" s="36"/>
      <c r="B1079" s="7" t="s">
        <v>36</v>
      </c>
      <c r="C1079" s="5">
        <v>1</v>
      </c>
      <c r="D1079" s="36"/>
      <c r="E1079" s="7" t="s">
        <v>37</v>
      </c>
      <c r="F1079" s="6"/>
    </row>
    <row r="1080" spans="1:6" ht="15.75" thickBot="1" x14ac:dyDescent="0.3">
      <c r="A1080" s="36"/>
      <c r="B1080" s="7" t="s">
        <v>39</v>
      </c>
      <c r="C1080" s="15">
        <v>45381</v>
      </c>
      <c r="D1080" s="36"/>
      <c r="E1080" s="7" t="s">
        <v>40</v>
      </c>
      <c r="F1080" s="6"/>
    </row>
    <row r="1081" spans="1:6" ht="15.75" thickBot="1" x14ac:dyDescent="0.3">
      <c r="A1081" s="36"/>
      <c r="B1081" s="7" t="s">
        <v>36</v>
      </c>
      <c r="C1081" s="5">
        <v>1</v>
      </c>
      <c r="D1081" s="36"/>
      <c r="E1081" s="7" t="s">
        <v>41</v>
      </c>
      <c r="F1081" s="6"/>
    </row>
    <row r="1082" spans="1:6" ht="15.75" thickBot="1" x14ac:dyDescent="0.3">
      <c r="A1082" s="2"/>
      <c r="B1082" s="2"/>
      <c r="C1082" s="2"/>
      <c r="D1082" s="2"/>
      <c r="E1082" s="2"/>
      <c r="F1082" s="2"/>
    </row>
    <row r="1083" spans="1:6" ht="15.75" thickBot="1" x14ac:dyDescent="0.3">
      <c r="A1083" s="12" t="s">
        <v>42</v>
      </c>
      <c r="B1083" s="12" t="s">
        <v>43</v>
      </c>
      <c r="C1083" s="12" t="s">
        <v>44</v>
      </c>
      <c r="D1083" s="12" t="s">
        <v>45</v>
      </c>
      <c r="E1083" s="12" t="s">
        <v>46</v>
      </c>
      <c r="F1083" s="12" t="s">
        <v>47</v>
      </c>
    </row>
    <row r="1084" spans="1:6" ht="33.75" x14ac:dyDescent="0.25">
      <c r="A1084" s="8">
        <v>90101802</v>
      </c>
      <c r="B1084" s="9" t="s">
        <v>223</v>
      </c>
      <c r="C1084" s="8" t="s">
        <v>55</v>
      </c>
      <c r="D1084" s="8">
        <v>125</v>
      </c>
      <c r="E1084" s="11">
        <v>550</v>
      </c>
      <c r="F1084" s="10">
        <v>68750</v>
      </c>
    </row>
    <row r="1085" spans="1:6" ht="33.75" x14ac:dyDescent="0.25">
      <c r="A1085" s="8">
        <v>90101802</v>
      </c>
      <c r="B1085" s="9" t="s">
        <v>223</v>
      </c>
      <c r="C1085" s="33" t="s">
        <v>55</v>
      </c>
      <c r="D1085" s="8">
        <v>125</v>
      </c>
      <c r="E1085" s="11">
        <v>650</v>
      </c>
      <c r="F1085" s="10">
        <v>81250</v>
      </c>
    </row>
    <row r="1086" spans="1:6" x14ac:dyDescent="0.25">
      <c r="A1086" s="2"/>
      <c r="B1086" s="2"/>
      <c r="C1086" s="2"/>
      <c r="D1086" s="2"/>
      <c r="E1086" s="13" t="s">
        <v>87</v>
      </c>
      <c r="F1086" s="14">
        <v>150000</v>
      </c>
    </row>
    <row r="1087" spans="1:6" ht="15.75" thickBot="1" x14ac:dyDescent="0.3">
      <c r="A1087" s="1"/>
      <c r="B1087" s="1"/>
      <c r="C1087" s="1"/>
      <c r="D1087" s="1"/>
      <c r="E1087" s="1"/>
      <c r="F1087" s="1"/>
    </row>
    <row r="1088" spans="1:6" ht="34.5" thickBot="1" x14ac:dyDescent="0.3">
      <c r="A1088" s="4" t="s">
        <v>19</v>
      </c>
      <c r="B1088" s="4" t="s">
        <v>20</v>
      </c>
      <c r="C1088" s="4" t="s">
        <v>21</v>
      </c>
      <c r="D1088" s="4" t="s">
        <v>22</v>
      </c>
      <c r="E1088" s="4" t="s">
        <v>23</v>
      </c>
      <c r="F1088" s="4" t="s">
        <v>24</v>
      </c>
    </row>
    <row r="1089" spans="1:6" ht="15.75" thickBot="1" x14ac:dyDescent="0.3">
      <c r="A1089" s="32" t="s">
        <v>302</v>
      </c>
      <c r="B1089" s="32" t="s">
        <v>303</v>
      </c>
      <c r="C1089" s="32" t="s">
        <v>27</v>
      </c>
      <c r="D1089" s="6" t="s">
        <v>188</v>
      </c>
      <c r="E1089" s="32" t="s">
        <v>262</v>
      </c>
      <c r="F1089" s="6"/>
    </row>
    <row r="1090" spans="1:6" ht="15.75" thickBot="1" x14ac:dyDescent="0.3">
      <c r="A1090" s="35" t="s">
        <v>31</v>
      </c>
      <c r="B1090" s="7" t="s">
        <v>32</v>
      </c>
      <c r="C1090" s="15">
        <v>45323</v>
      </c>
      <c r="D1090" s="35" t="s">
        <v>33</v>
      </c>
      <c r="E1090" s="7" t="s">
        <v>34</v>
      </c>
      <c r="F1090" s="6"/>
    </row>
    <row r="1091" spans="1:6" ht="15.75" thickBot="1" x14ac:dyDescent="0.3">
      <c r="A1091" s="36"/>
      <c r="B1091" s="7" t="s">
        <v>36</v>
      </c>
      <c r="C1091" s="5">
        <v>1</v>
      </c>
      <c r="D1091" s="36"/>
      <c r="E1091" s="7" t="s">
        <v>37</v>
      </c>
      <c r="F1091" s="6"/>
    </row>
    <row r="1092" spans="1:6" ht="15.75" thickBot="1" x14ac:dyDescent="0.3">
      <c r="A1092" s="36"/>
      <c r="B1092" s="7" t="s">
        <v>39</v>
      </c>
      <c r="C1092" s="15">
        <v>45381</v>
      </c>
      <c r="D1092" s="36"/>
      <c r="E1092" s="7" t="s">
        <v>40</v>
      </c>
      <c r="F1092" s="6"/>
    </row>
    <row r="1093" spans="1:6" ht="15.75" thickBot="1" x14ac:dyDescent="0.3">
      <c r="A1093" s="36"/>
      <c r="B1093" s="7" t="s">
        <v>36</v>
      </c>
      <c r="C1093" s="5">
        <v>1</v>
      </c>
      <c r="D1093" s="36"/>
      <c r="E1093" s="7" t="s">
        <v>41</v>
      </c>
      <c r="F1093" s="6"/>
    </row>
    <row r="1094" spans="1:6" ht="15.75" thickBot="1" x14ac:dyDescent="0.3">
      <c r="A1094" s="2"/>
      <c r="B1094" s="2"/>
      <c r="C1094" s="2"/>
      <c r="D1094" s="2"/>
      <c r="E1094" s="2"/>
      <c r="F1094" s="2"/>
    </row>
    <row r="1095" spans="1:6" ht="15.75" thickBot="1" x14ac:dyDescent="0.3">
      <c r="A1095" s="12" t="s">
        <v>42</v>
      </c>
      <c r="B1095" s="12" t="s">
        <v>43</v>
      </c>
      <c r="C1095" s="12" t="s">
        <v>44</v>
      </c>
      <c r="D1095" s="12" t="s">
        <v>45</v>
      </c>
      <c r="E1095" s="12" t="s">
        <v>46</v>
      </c>
      <c r="F1095" s="12" t="s">
        <v>47</v>
      </c>
    </row>
    <row r="1096" spans="1:6" x14ac:dyDescent="0.25">
      <c r="A1096" s="34">
        <v>44122011</v>
      </c>
      <c r="B1096" s="9" t="s">
        <v>52</v>
      </c>
      <c r="C1096" s="8" t="s">
        <v>49</v>
      </c>
      <c r="D1096" s="8">
        <v>500</v>
      </c>
      <c r="E1096" s="11">
        <v>228.81</v>
      </c>
      <c r="F1096" s="10">
        <v>114405</v>
      </c>
    </row>
    <row r="1097" spans="1:6" x14ac:dyDescent="0.25">
      <c r="A1097" s="2"/>
      <c r="B1097" s="2"/>
      <c r="C1097" s="2"/>
      <c r="D1097" s="2"/>
      <c r="E1097" s="13" t="s">
        <v>87</v>
      </c>
      <c r="F1097" s="14">
        <v>114405</v>
      </c>
    </row>
    <row r="1098" spans="1:6" ht="15.75" thickBot="1" x14ac:dyDescent="0.3">
      <c r="A1098" s="1"/>
      <c r="B1098" s="1"/>
      <c r="C1098" s="1"/>
      <c r="D1098" s="1"/>
      <c r="E1098" s="1"/>
      <c r="F1098" s="1"/>
    </row>
    <row r="1099" spans="1:6" ht="34.5" thickBot="1" x14ac:dyDescent="0.3">
      <c r="A1099" s="4" t="s">
        <v>19</v>
      </c>
      <c r="B1099" s="4" t="s">
        <v>20</v>
      </c>
      <c r="C1099" s="4" t="s">
        <v>21</v>
      </c>
      <c r="D1099" s="4" t="s">
        <v>22</v>
      </c>
      <c r="E1099" s="4" t="s">
        <v>23</v>
      </c>
      <c r="F1099" s="4" t="s">
        <v>24</v>
      </c>
    </row>
    <row r="1100" spans="1:6" ht="15.75" thickBot="1" x14ac:dyDescent="0.3">
      <c r="A1100" s="32" t="s">
        <v>304</v>
      </c>
      <c r="B1100" s="32" t="s">
        <v>305</v>
      </c>
      <c r="C1100" s="32" t="s">
        <v>27</v>
      </c>
      <c r="D1100" s="6" t="s">
        <v>188</v>
      </c>
      <c r="E1100" s="32" t="s">
        <v>262</v>
      </c>
      <c r="F1100" s="6"/>
    </row>
    <row r="1101" spans="1:6" ht="15.75" thickBot="1" x14ac:dyDescent="0.3">
      <c r="A1101" s="35" t="s">
        <v>31</v>
      </c>
      <c r="B1101" s="7" t="s">
        <v>32</v>
      </c>
      <c r="C1101" s="15">
        <v>45323</v>
      </c>
      <c r="D1101" s="35" t="s">
        <v>33</v>
      </c>
      <c r="E1101" s="7" t="s">
        <v>34</v>
      </c>
      <c r="F1101" s="6"/>
    </row>
    <row r="1102" spans="1:6" ht="15.75" thickBot="1" x14ac:dyDescent="0.3">
      <c r="A1102" s="36"/>
      <c r="B1102" s="7" t="s">
        <v>36</v>
      </c>
      <c r="C1102" s="5">
        <v>1</v>
      </c>
      <c r="D1102" s="36"/>
      <c r="E1102" s="7" t="s">
        <v>37</v>
      </c>
      <c r="F1102" s="6"/>
    </row>
    <row r="1103" spans="1:6" ht="15.75" thickBot="1" x14ac:dyDescent="0.3">
      <c r="A1103" s="36"/>
      <c r="B1103" s="7" t="s">
        <v>39</v>
      </c>
      <c r="C1103" s="15">
        <v>45381</v>
      </c>
      <c r="D1103" s="36"/>
      <c r="E1103" s="7" t="s">
        <v>40</v>
      </c>
      <c r="F1103" s="6"/>
    </row>
    <row r="1104" spans="1:6" ht="15.75" thickBot="1" x14ac:dyDescent="0.3">
      <c r="A1104" s="36"/>
      <c r="B1104" s="7" t="s">
        <v>36</v>
      </c>
      <c r="C1104" s="5">
        <v>1</v>
      </c>
      <c r="D1104" s="36"/>
      <c r="E1104" s="7" t="s">
        <v>41</v>
      </c>
      <c r="F1104" s="6"/>
    </row>
    <row r="1105" spans="1:6" ht="15.75" thickBot="1" x14ac:dyDescent="0.3">
      <c r="A1105" s="2"/>
      <c r="B1105" s="2"/>
      <c r="C1105" s="2"/>
      <c r="D1105" s="2"/>
      <c r="E1105" s="2"/>
      <c r="F1105" s="2"/>
    </row>
    <row r="1106" spans="1:6" ht="15.75" thickBot="1" x14ac:dyDescent="0.3">
      <c r="A1106" s="12" t="s">
        <v>42</v>
      </c>
      <c r="B1106" s="12" t="s">
        <v>43</v>
      </c>
      <c r="C1106" s="12" t="s">
        <v>44</v>
      </c>
      <c r="D1106" s="12" t="s">
        <v>45</v>
      </c>
      <c r="E1106" s="12" t="s">
        <v>46</v>
      </c>
      <c r="F1106" s="12" t="s">
        <v>47</v>
      </c>
    </row>
    <row r="1107" spans="1:6" x14ac:dyDescent="0.25">
      <c r="A1107" s="8">
        <v>52131501</v>
      </c>
      <c r="B1107" s="9" t="s">
        <v>306</v>
      </c>
      <c r="C1107" s="8" t="s">
        <v>55</v>
      </c>
      <c r="D1107" s="8">
        <v>1</v>
      </c>
      <c r="E1107" s="11">
        <v>16800</v>
      </c>
      <c r="F1107" s="10">
        <v>16800</v>
      </c>
    </row>
    <row r="1108" spans="1:6" x14ac:dyDescent="0.25">
      <c r="A1108" s="2"/>
      <c r="B1108" s="2"/>
      <c r="C1108" s="2"/>
      <c r="D1108" s="2"/>
      <c r="E1108" s="13" t="s">
        <v>87</v>
      </c>
      <c r="F1108" s="14">
        <v>16800</v>
      </c>
    </row>
    <row r="1109" spans="1:6" ht="15.75" thickBot="1" x14ac:dyDescent="0.3">
      <c r="A1109" s="1"/>
      <c r="B1109" s="1"/>
      <c r="C1109" s="1"/>
      <c r="D1109" s="1"/>
      <c r="E1109" s="1"/>
      <c r="F1109" s="1"/>
    </row>
    <row r="1110" spans="1:6" ht="34.5" thickBot="1" x14ac:dyDescent="0.3">
      <c r="A1110" s="4" t="s">
        <v>19</v>
      </c>
      <c r="B1110" s="4" t="s">
        <v>20</v>
      </c>
      <c r="C1110" s="4" t="s">
        <v>21</v>
      </c>
      <c r="D1110" s="4" t="s">
        <v>22</v>
      </c>
      <c r="E1110" s="4" t="s">
        <v>23</v>
      </c>
      <c r="F1110" s="4" t="s">
        <v>24</v>
      </c>
    </row>
    <row r="1111" spans="1:6" ht="15.75" thickBot="1" x14ac:dyDescent="0.3">
      <c r="A1111" s="32" t="s">
        <v>307</v>
      </c>
      <c r="B1111" s="32" t="s">
        <v>308</v>
      </c>
      <c r="C1111" s="32" t="s">
        <v>27</v>
      </c>
      <c r="D1111" s="6" t="s">
        <v>28</v>
      </c>
      <c r="E1111" s="32" t="s">
        <v>262</v>
      </c>
      <c r="F1111" s="6"/>
    </row>
    <row r="1112" spans="1:6" ht="15.75" thickBot="1" x14ac:dyDescent="0.3">
      <c r="A1112" s="35" t="s">
        <v>31</v>
      </c>
      <c r="B1112" s="7" t="s">
        <v>32</v>
      </c>
      <c r="C1112" s="15">
        <v>45323</v>
      </c>
      <c r="D1112" s="35" t="s">
        <v>33</v>
      </c>
      <c r="E1112" s="7" t="s">
        <v>34</v>
      </c>
      <c r="F1112" s="6"/>
    </row>
    <row r="1113" spans="1:6" ht="15.75" thickBot="1" x14ac:dyDescent="0.3">
      <c r="A1113" s="36"/>
      <c r="B1113" s="7" t="s">
        <v>36</v>
      </c>
      <c r="C1113" s="5">
        <v>1</v>
      </c>
      <c r="D1113" s="36"/>
      <c r="E1113" s="7" t="s">
        <v>37</v>
      </c>
      <c r="F1113" s="6"/>
    </row>
    <row r="1114" spans="1:6" ht="15.75" thickBot="1" x14ac:dyDescent="0.3">
      <c r="A1114" s="36"/>
      <c r="B1114" s="7" t="s">
        <v>39</v>
      </c>
      <c r="C1114" s="15">
        <v>45381</v>
      </c>
      <c r="D1114" s="36"/>
      <c r="E1114" s="7" t="s">
        <v>40</v>
      </c>
      <c r="F1114" s="6"/>
    </row>
    <row r="1115" spans="1:6" ht="15.75" thickBot="1" x14ac:dyDescent="0.3">
      <c r="A1115" s="36"/>
      <c r="B1115" s="7" t="s">
        <v>36</v>
      </c>
      <c r="C1115" s="5">
        <v>1</v>
      </c>
      <c r="D1115" s="36"/>
      <c r="E1115" s="7" t="s">
        <v>41</v>
      </c>
      <c r="F1115" s="6"/>
    </row>
    <row r="1116" spans="1:6" ht="15.75" thickBot="1" x14ac:dyDescent="0.3">
      <c r="A1116" s="2"/>
      <c r="B1116" s="2"/>
      <c r="C1116" s="2"/>
      <c r="D1116" s="2"/>
      <c r="E1116" s="2"/>
      <c r="F1116" s="2"/>
    </row>
    <row r="1117" spans="1:6" ht="15.75" thickBot="1" x14ac:dyDescent="0.3">
      <c r="A1117" s="12" t="s">
        <v>42</v>
      </c>
      <c r="B1117" s="12" t="s">
        <v>43</v>
      </c>
      <c r="C1117" s="12" t="s">
        <v>44</v>
      </c>
      <c r="D1117" s="12" t="s">
        <v>45</v>
      </c>
      <c r="E1117" s="12" t="s">
        <v>46</v>
      </c>
      <c r="F1117" s="12" t="s">
        <v>47</v>
      </c>
    </row>
    <row r="1118" spans="1:6" ht="56.25" x14ac:dyDescent="0.25">
      <c r="A1118" s="8">
        <v>52151504</v>
      </c>
      <c r="B1118" s="9" t="s">
        <v>197</v>
      </c>
      <c r="C1118" s="8" t="s">
        <v>74</v>
      </c>
      <c r="D1118" s="8">
        <v>200</v>
      </c>
      <c r="E1118" s="11">
        <v>177.97</v>
      </c>
      <c r="F1118" s="10">
        <v>35594</v>
      </c>
    </row>
    <row r="1119" spans="1:6" ht="56.25" x14ac:dyDescent="0.25">
      <c r="A1119" s="8">
        <v>52151504</v>
      </c>
      <c r="B1119" s="9" t="s">
        <v>197</v>
      </c>
      <c r="C1119" s="33" t="s">
        <v>74</v>
      </c>
      <c r="D1119" s="8">
        <v>1300</v>
      </c>
      <c r="E1119" s="11">
        <v>122.03</v>
      </c>
      <c r="F1119" s="10">
        <v>158639</v>
      </c>
    </row>
    <row r="1120" spans="1:6" ht="56.25" x14ac:dyDescent="0.25">
      <c r="A1120" s="8">
        <v>52151504</v>
      </c>
      <c r="B1120" s="9" t="s">
        <v>197</v>
      </c>
      <c r="C1120" s="33" t="s">
        <v>74</v>
      </c>
      <c r="D1120" s="8">
        <v>1200</v>
      </c>
      <c r="E1120" s="11">
        <v>142.37</v>
      </c>
      <c r="F1120" s="10">
        <v>170844</v>
      </c>
    </row>
    <row r="1121" spans="1:6" ht="56.25" x14ac:dyDescent="0.25">
      <c r="A1121" s="8">
        <v>52151504</v>
      </c>
      <c r="B1121" s="9" t="s">
        <v>197</v>
      </c>
      <c r="C1121" s="33" t="s">
        <v>74</v>
      </c>
      <c r="D1121" s="8">
        <v>100</v>
      </c>
      <c r="E1121" s="11">
        <v>162.71</v>
      </c>
      <c r="F1121" s="10">
        <v>16271</v>
      </c>
    </row>
    <row r="1122" spans="1:6" ht="45" x14ac:dyDescent="0.25">
      <c r="A1122" s="8">
        <v>52151502</v>
      </c>
      <c r="B1122" s="9" t="s">
        <v>198</v>
      </c>
      <c r="C1122" s="33" t="s">
        <v>74</v>
      </c>
      <c r="D1122" s="8">
        <v>400</v>
      </c>
      <c r="E1122" s="11">
        <v>86.44</v>
      </c>
      <c r="F1122" s="10">
        <v>34576</v>
      </c>
    </row>
    <row r="1123" spans="1:6" ht="45" x14ac:dyDescent="0.25">
      <c r="A1123" s="8">
        <v>52151502</v>
      </c>
      <c r="B1123" s="9" t="s">
        <v>198</v>
      </c>
      <c r="C1123" s="33" t="s">
        <v>74</v>
      </c>
      <c r="D1123" s="8">
        <v>800</v>
      </c>
      <c r="E1123" s="11">
        <v>122.03</v>
      </c>
      <c r="F1123" s="10">
        <v>97624</v>
      </c>
    </row>
    <row r="1124" spans="1:6" ht="45" x14ac:dyDescent="0.25">
      <c r="A1124" s="8">
        <v>52151503</v>
      </c>
      <c r="B1124" s="9" t="s">
        <v>309</v>
      </c>
      <c r="C1124" s="33" t="s">
        <v>74</v>
      </c>
      <c r="D1124" s="8">
        <v>1500</v>
      </c>
      <c r="E1124" s="11">
        <v>76.27</v>
      </c>
      <c r="F1124" s="10">
        <v>114405</v>
      </c>
    </row>
    <row r="1125" spans="1:6" ht="45" x14ac:dyDescent="0.25">
      <c r="A1125" s="8">
        <v>52151503</v>
      </c>
      <c r="B1125" s="9" t="s">
        <v>309</v>
      </c>
      <c r="C1125" s="33" t="s">
        <v>74</v>
      </c>
      <c r="D1125" s="8">
        <v>1500</v>
      </c>
      <c r="E1125" s="11">
        <v>76.27</v>
      </c>
      <c r="F1125" s="10">
        <v>114405</v>
      </c>
    </row>
    <row r="1126" spans="1:6" x14ac:dyDescent="0.25">
      <c r="A1126" s="2"/>
      <c r="B1126" s="2"/>
      <c r="C1126" s="2"/>
      <c r="D1126" s="2"/>
      <c r="E1126" s="13" t="s">
        <v>87</v>
      </c>
      <c r="F1126" s="14">
        <v>742358</v>
      </c>
    </row>
    <row r="1127" spans="1:6" ht="15.75" thickBot="1" x14ac:dyDescent="0.3">
      <c r="A1127" s="1"/>
      <c r="B1127" s="1"/>
      <c r="C1127" s="1"/>
      <c r="D1127" s="1"/>
      <c r="E1127" s="1"/>
      <c r="F1127" s="1"/>
    </row>
    <row r="1128" spans="1:6" ht="34.5" thickBot="1" x14ac:dyDescent="0.3">
      <c r="A1128" s="4" t="s">
        <v>19</v>
      </c>
      <c r="B1128" s="4" t="s">
        <v>20</v>
      </c>
      <c r="C1128" s="4" t="s">
        <v>21</v>
      </c>
      <c r="D1128" s="4" t="s">
        <v>22</v>
      </c>
      <c r="E1128" s="4" t="s">
        <v>23</v>
      </c>
      <c r="F1128" s="4" t="s">
        <v>24</v>
      </c>
    </row>
    <row r="1129" spans="1:6" ht="15.75" thickBot="1" x14ac:dyDescent="0.3">
      <c r="A1129" s="32" t="s">
        <v>310</v>
      </c>
      <c r="B1129" s="32" t="s">
        <v>311</v>
      </c>
      <c r="C1129" s="6" t="s">
        <v>27</v>
      </c>
      <c r="D1129" s="6" t="s">
        <v>188</v>
      </c>
      <c r="E1129" s="32" t="s">
        <v>262</v>
      </c>
      <c r="F1129" s="6"/>
    </row>
    <row r="1130" spans="1:6" ht="15.75" thickBot="1" x14ac:dyDescent="0.3">
      <c r="A1130" s="35" t="s">
        <v>31</v>
      </c>
      <c r="B1130" s="7" t="s">
        <v>32</v>
      </c>
      <c r="C1130" s="15">
        <v>45323</v>
      </c>
      <c r="D1130" s="35" t="s">
        <v>33</v>
      </c>
      <c r="E1130" s="7" t="s">
        <v>34</v>
      </c>
      <c r="F1130" s="6"/>
    </row>
    <row r="1131" spans="1:6" ht="15.75" thickBot="1" x14ac:dyDescent="0.3">
      <c r="A1131" s="36"/>
      <c r="B1131" s="7" t="s">
        <v>36</v>
      </c>
      <c r="C1131" s="5">
        <v>1</v>
      </c>
      <c r="D1131" s="36"/>
      <c r="E1131" s="7" t="s">
        <v>37</v>
      </c>
      <c r="F1131" s="6"/>
    </row>
    <row r="1132" spans="1:6" ht="15.75" thickBot="1" x14ac:dyDescent="0.3">
      <c r="A1132" s="36"/>
      <c r="B1132" s="7" t="s">
        <v>39</v>
      </c>
      <c r="C1132" s="15">
        <v>45381</v>
      </c>
      <c r="D1132" s="36"/>
      <c r="E1132" s="7" t="s">
        <v>40</v>
      </c>
      <c r="F1132" s="6"/>
    </row>
    <row r="1133" spans="1:6" ht="15.75" thickBot="1" x14ac:dyDescent="0.3">
      <c r="A1133" s="36"/>
      <c r="B1133" s="7" t="s">
        <v>36</v>
      </c>
      <c r="C1133" s="5">
        <v>1</v>
      </c>
      <c r="D1133" s="36"/>
      <c r="E1133" s="7" t="s">
        <v>41</v>
      </c>
      <c r="F1133" s="6"/>
    </row>
    <row r="1134" spans="1:6" ht="15.75" thickBot="1" x14ac:dyDescent="0.3">
      <c r="A1134" s="2"/>
      <c r="B1134" s="2"/>
      <c r="C1134" s="2"/>
      <c r="D1134" s="2"/>
      <c r="E1134" s="2"/>
      <c r="F1134" s="2"/>
    </row>
    <row r="1135" spans="1:6" ht="15.75" thickBot="1" x14ac:dyDescent="0.3">
      <c r="A1135" s="12" t="s">
        <v>42</v>
      </c>
      <c r="B1135" s="12" t="s">
        <v>43</v>
      </c>
      <c r="C1135" s="12" t="s">
        <v>44</v>
      </c>
      <c r="D1135" s="12" t="s">
        <v>45</v>
      </c>
      <c r="E1135" s="12" t="s">
        <v>46</v>
      </c>
      <c r="F1135" s="12" t="s">
        <v>47</v>
      </c>
    </row>
    <row r="1136" spans="1:6" ht="22.5" x14ac:dyDescent="0.25">
      <c r="A1136" s="8">
        <v>45111501</v>
      </c>
      <c r="B1136" s="9" t="s">
        <v>312</v>
      </c>
      <c r="C1136" s="33" t="s">
        <v>55</v>
      </c>
      <c r="D1136" s="8">
        <v>12</v>
      </c>
      <c r="E1136" s="11">
        <v>9800</v>
      </c>
      <c r="F1136" s="10">
        <v>117600</v>
      </c>
    </row>
    <row r="1137" spans="1:6" x14ac:dyDescent="0.25">
      <c r="A1137" s="2"/>
      <c r="B1137" s="2"/>
      <c r="C1137" s="2"/>
      <c r="D1137" s="2"/>
      <c r="E1137" s="13" t="s">
        <v>87</v>
      </c>
      <c r="F1137" s="14">
        <v>117600</v>
      </c>
    </row>
    <row r="1138" spans="1:6" ht="15.75" thickBot="1" x14ac:dyDescent="0.3">
      <c r="A1138" s="1"/>
      <c r="B1138" s="1"/>
      <c r="C1138" s="1"/>
      <c r="D1138" s="1"/>
      <c r="E1138" s="1"/>
      <c r="F1138" s="1"/>
    </row>
    <row r="1139" spans="1:6" ht="34.5" thickBot="1" x14ac:dyDescent="0.3">
      <c r="A1139" s="4" t="s">
        <v>19</v>
      </c>
      <c r="B1139" s="4" t="s">
        <v>20</v>
      </c>
      <c r="C1139" s="4" t="s">
        <v>21</v>
      </c>
      <c r="D1139" s="4" t="s">
        <v>22</v>
      </c>
      <c r="E1139" s="4" t="s">
        <v>23</v>
      </c>
      <c r="F1139" s="4" t="s">
        <v>24</v>
      </c>
    </row>
    <row r="1140" spans="1:6" ht="15.75" thickBot="1" x14ac:dyDescent="0.3">
      <c r="A1140" s="32" t="s">
        <v>313</v>
      </c>
      <c r="B1140" s="32" t="s">
        <v>314</v>
      </c>
      <c r="C1140" s="32" t="s">
        <v>129</v>
      </c>
      <c r="D1140" s="6" t="s">
        <v>28</v>
      </c>
      <c r="E1140" s="32" t="s">
        <v>29</v>
      </c>
      <c r="F1140" s="6"/>
    </row>
    <row r="1141" spans="1:6" ht="15.75" thickBot="1" x14ac:dyDescent="0.3">
      <c r="A1141" s="35" t="s">
        <v>31</v>
      </c>
      <c r="B1141" s="7" t="s">
        <v>32</v>
      </c>
      <c r="C1141" s="15">
        <v>45323</v>
      </c>
      <c r="D1141" s="35" t="s">
        <v>33</v>
      </c>
      <c r="E1141" s="7" t="s">
        <v>34</v>
      </c>
      <c r="F1141" s="6"/>
    </row>
    <row r="1142" spans="1:6" ht="15.75" thickBot="1" x14ac:dyDescent="0.3">
      <c r="A1142" s="36"/>
      <c r="B1142" s="7" t="s">
        <v>36</v>
      </c>
      <c r="C1142" s="5">
        <v>1</v>
      </c>
      <c r="D1142" s="36"/>
      <c r="E1142" s="7" t="s">
        <v>37</v>
      </c>
      <c r="F1142" s="6"/>
    </row>
    <row r="1143" spans="1:6" ht="15.75" thickBot="1" x14ac:dyDescent="0.3">
      <c r="A1143" s="36"/>
      <c r="B1143" s="7" t="s">
        <v>39</v>
      </c>
      <c r="C1143" s="15">
        <v>45381</v>
      </c>
      <c r="D1143" s="36"/>
      <c r="E1143" s="7" t="s">
        <v>40</v>
      </c>
      <c r="F1143" s="6"/>
    </row>
    <row r="1144" spans="1:6" ht="15.75" thickBot="1" x14ac:dyDescent="0.3">
      <c r="A1144" s="36"/>
      <c r="B1144" s="7" t="s">
        <v>36</v>
      </c>
      <c r="C1144" s="5">
        <v>1</v>
      </c>
      <c r="D1144" s="36"/>
      <c r="E1144" s="7" t="s">
        <v>41</v>
      </c>
      <c r="F1144" s="6"/>
    </row>
    <row r="1145" spans="1:6" ht="15.75" thickBot="1" x14ac:dyDescent="0.3">
      <c r="A1145" s="2"/>
      <c r="B1145" s="2"/>
      <c r="C1145" s="2"/>
      <c r="D1145" s="2"/>
      <c r="E1145" s="2"/>
      <c r="F1145" s="2"/>
    </row>
    <row r="1146" spans="1:6" ht="15.75" thickBot="1" x14ac:dyDescent="0.3">
      <c r="A1146" s="12" t="s">
        <v>42</v>
      </c>
      <c r="B1146" s="12" t="s">
        <v>43</v>
      </c>
      <c r="C1146" s="12" t="s">
        <v>44</v>
      </c>
      <c r="D1146" s="12" t="s">
        <v>45</v>
      </c>
      <c r="E1146" s="12" t="s">
        <v>46</v>
      </c>
      <c r="F1146" s="12" t="s">
        <v>47</v>
      </c>
    </row>
    <row r="1147" spans="1:6" ht="56.25" x14ac:dyDescent="0.25">
      <c r="A1147" s="8">
        <v>86101701</v>
      </c>
      <c r="B1147" s="9" t="s">
        <v>315</v>
      </c>
      <c r="C1147" s="8" t="s">
        <v>55</v>
      </c>
      <c r="D1147" s="8">
        <v>1</v>
      </c>
      <c r="E1147" s="11">
        <v>750000</v>
      </c>
      <c r="F1147" s="10">
        <v>750000</v>
      </c>
    </row>
    <row r="1148" spans="1:6" x14ac:dyDescent="0.25">
      <c r="A1148" s="2"/>
      <c r="B1148" s="2"/>
      <c r="C1148" s="2"/>
      <c r="D1148" s="2"/>
      <c r="E1148" s="13" t="s">
        <v>87</v>
      </c>
      <c r="F1148" s="14">
        <v>750000</v>
      </c>
    </row>
    <row r="1149" spans="1:6" ht="15.75" thickBot="1" x14ac:dyDescent="0.3">
      <c r="A1149" s="1"/>
      <c r="B1149" s="1"/>
      <c r="C1149" s="1"/>
      <c r="D1149" s="1"/>
      <c r="E1149" s="1"/>
      <c r="F1149" s="1"/>
    </row>
    <row r="1150" spans="1:6" ht="34.5" thickBot="1" x14ac:dyDescent="0.3">
      <c r="A1150" s="4" t="s">
        <v>19</v>
      </c>
      <c r="B1150" s="4" t="s">
        <v>20</v>
      </c>
      <c r="C1150" s="4" t="s">
        <v>21</v>
      </c>
      <c r="D1150" s="4" t="s">
        <v>22</v>
      </c>
      <c r="E1150" s="4" t="s">
        <v>23</v>
      </c>
      <c r="F1150" s="4" t="s">
        <v>24</v>
      </c>
    </row>
    <row r="1151" spans="1:6" ht="15.75" thickBot="1" x14ac:dyDescent="0.3">
      <c r="A1151" s="32" t="s">
        <v>316</v>
      </c>
      <c r="B1151" s="32" t="s">
        <v>317</v>
      </c>
      <c r="C1151" s="32" t="s">
        <v>129</v>
      </c>
      <c r="D1151" s="6" t="s">
        <v>28</v>
      </c>
      <c r="E1151" s="6" t="s">
        <v>262</v>
      </c>
      <c r="F1151" s="6"/>
    </row>
    <row r="1152" spans="1:6" ht="15.75" thickBot="1" x14ac:dyDescent="0.3">
      <c r="A1152" s="35" t="s">
        <v>31</v>
      </c>
      <c r="B1152" s="7" t="s">
        <v>32</v>
      </c>
      <c r="C1152" s="15">
        <v>45323</v>
      </c>
      <c r="D1152" s="35" t="s">
        <v>33</v>
      </c>
      <c r="E1152" s="7" t="s">
        <v>34</v>
      </c>
      <c r="F1152" s="6"/>
    </row>
    <row r="1153" spans="1:6" ht="15.75" thickBot="1" x14ac:dyDescent="0.3">
      <c r="A1153" s="36"/>
      <c r="B1153" s="7" t="s">
        <v>36</v>
      </c>
      <c r="C1153" s="5">
        <v>1</v>
      </c>
      <c r="D1153" s="36"/>
      <c r="E1153" s="7" t="s">
        <v>37</v>
      </c>
      <c r="F1153" s="6"/>
    </row>
    <row r="1154" spans="1:6" ht="15.75" thickBot="1" x14ac:dyDescent="0.3">
      <c r="A1154" s="36"/>
      <c r="B1154" s="7" t="s">
        <v>39</v>
      </c>
      <c r="C1154" s="15">
        <v>45381</v>
      </c>
      <c r="D1154" s="36"/>
      <c r="E1154" s="7" t="s">
        <v>40</v>
      </c>
      <c r="F1154" s="6"/>
    </row>
    <row r="1155" spans="1:6" ht="15.75" thickBot="1" x14ac:dyDescent="0.3">
      <c r="A1155" s="36"/>
      <c r="B1155" s="7" t="s">
        <v>36</v>
      </c>
      <c r="C1155" s="5">
        <v>1</v>
      </c>
      <c r="D1155" s="36"/>
      <c r="E1155" s="7" t="s">
        <v>41</v>
      </c>
      <c r="F1155" s="6"/>
    </row>
    <row r="1156" spans="1:6" ht="15.75" thickBot="1" x14ac:dyDescent="0.3">
      <c r="A1156" s="2"/>
      <c r="B1156" s="2"/>
      <c r="C1156" s="2"/>
      <c r="D1156" s="2"/>
      <c r="E1156" s="2"/>
      <c r="F1156" s="2"/>
    </row>
    <row r="1157" spans="1:6" ht="15.75" thickBot="1" x14ac:dyDescent="0.3">
      <c r="A1157" s="12" t="s">
        <v>42</v>
      </c>
      <c r="B1157" s="12" t="s">
        <v>43</v>
      </c>
      <c r="C1157" s="12" t="s">
        <v>44</v>
      </c>
      <c r="D1157" s="12" t="s">
        <v>45</v>
      </c>
      <c r="E1157" s="12" t="s">
        <v>46</v>
      </c>
      <c r="F1157" s="12" t="s">
        <v>47</v>
      </c>
    </row>
    <row r="1158" spans="1:6" ht="33.75" x14ac:dyDescent="0.25">
      <c r="A1158" s="8">
        <v>73151606</v>
      </c>
      <c r="B1158" s="9" t="s">
        <v>318</v>
      </c>
      <c r="C1158" s="8" t="s">
        <v>55</v>
      </c>
      <c r="D1158" s="8">
        <v>1</v>
      </c>
      <c r="E1158" s="11">
        <v>1215000</v>
      </c>
      <c r="F1158" s="10">
        <v>1215000</v>
      </c>
    </row>
    <row r="1159" spans="1:6" x14ac:dyDescent="0.25">
      <c r="A1159" s="2"/>
      <c r="B1159" s="2"/>
      <c r="C1159" s="2"/>
      <c r="D1159" s="2"/>
      <c r="E1159" s="13" t="s">
        <v>87</v>
      </c>
      <c r="F1159" s="14">
        <v>1215000</v>
      </c>
    </row>
    <row r="1160" spans="1:6" ht="15.75" thickBot="1" x14ac:dyDescent="0.3">
      <c r="A1160" s="1"/>
      <c r="B1160" s="1"/>
      <c r="C1160" s="1"/>
      <c r="D1160" s="1"/>
      <c r="E1160" s="1"/>
      <c r="F1160" s="1"/>
    </row>
    <row r="1161" spans="1:6" ht="34.5" thickBot="1" x14ac:dyDescent="0.3">
      <c r="A1161" s="4" t="s">
        <v>19</v>
      </c>
      <c r="B1161" s="4" t="s">
        <v>20</v>
      </c>
      <c r="C1161" s="4" t="s">
        <v>21</v>
      </c>
      <c r="D1161" s="4" t="s">
        <v>22</v>
      </c>
      <c r="E1161" s="4" t="s">
        <v>23</v>
      </c>
      <c r="F1161" s="4" t="s">
        <v>24</v>
      </c>
    </row>
    <row r="1162" spans="1:6" ht="15.75" thickBot="1" x14ac:dyDescent="0.3">
      <c r="A1162" s="32" t="s">
        <v>319</v>
      </c>
      <c r="B1162" s="32" t="s">
        <v>320</v>
      </c>
      <c r="C1162" s="32" t="s">
        <v>27</v>
      </c>
      <c r="D1162" s="6" t="s">
        <v>188</v>
      </c>
      <c r="E1162" s="6" t="s">
        <v>262</v>
      </c>
      <c r="F1162" s="6"/>
    </row>
    <row r="1163" spans="1:6" ht="15.75" thickBot="1" x14ac:dyDescent="0.3">
      <c r="A1163" s="35" t="s">
        <v>31</v>
      </c>
      <c r="B1163" s="7" t="s">
        <v>32</v>
      </c>
      <c r="C1163" s="15">
        <v>45323</v>
      </c>
      <c r="D1163" s="35" t="s">
        <v>33</v>
      </c>
      <c r="E1163" s="7" t="s">
        <v>34</v>
      </c>
      <c r="F1163" s="6"/>
    </row>
    <row r="1164" spans="1:6" ht="15.75" thickBot="1" x14ac:dyDescent="0.3">
      <c r="A1164" s="36"/>
      <c r="B1164" s="7" t="s">
        <v>36</v>
      </c>
      <c r="C1164" s="5">
        <v>1</v>
      </c>
      <c r="D1164" s="36"/>
      <c r="E1164" s="7" t="s">
        <v>37</v>
      </c>
      <c r="F1164" s="6"/>
    </row>
    <row r="1165" spans="1:6" ht="15.75" thickBot="1" x14ac:dyDescent="0.3">
      <c r="A1165" s="36"/>
      <c r="B1165" s="7" t="s">
        <v>39</v>
      </c>
      <c r="C1165" s="15">
        <v>45381</v>
      </c>
      <c r="D1165" s="36"/>
      <c r="E1165" s="7" t="s">
        <v>40</v>
      </c>
      <c r="F1165" s="6"/>
    </row>
    <row r="1166" spans="1:6" ht="15.75" thickBot="1" x14ac:dyDescent="0.3">
      <c r="A1166" s="36"/>
      <c r="B1166" s="7" t="s">
        <v>36</v>
      </c>
      <c r="C1166" s="5">
        <v>1</v>
      </c>
      <c r="D1166" s="36"/>
      <c r="E1166" s="7" t="s">
        <v>41</v>
      </c>
      <c r="F1166" s="6"/>
    </row>
    <row r="1167" spans="1:6" ht="15.75" thickBot="1" x14ac:dyDescent="0.3">
      <c r="A1167" s="2"/>
      <c r="B1167" s="2"/>
      <c r="C1167" s="2"/>
      <c r="D1167" s="2"/>
      <c r="E1167" s="2"/>
      <c r="F1167" s="2"/>
    </row>
    <row r="1168" spans="1:6" ht="15.75" thickBot="1" x14ac:dyDescent="0.3">
      <c r="A1168" s="12" t="s">
        <v>42</v>
      </c>
      <c r="B1168" s="12" t="s">
        <v>43</v>
      </c>
      <c r="C1168" s="12" t="s">
        <v>44</v>
      </c>
      <c r="D1168" s="12" t="s">
        <v>45</v>
      </c>
      <c r="E1168" s="12" t="s">
        <v>46</v>
      </c>
      <c r="F1168" s="12" t="s">
        <v>47</v>
      </c>
    </row>
    <row r="1169" spans="1:6" ht="22.5" x14ac:dyDescent="0.25">
      <c r="A1169" s="8">
        <v>52141526</v>
      </c>
      <c r="B1169" s="9" t="s">
        <v>321</v>
      </c>
      <c r="C1169" s="33" t="s">
        <v>55</v>
      </c>
      <c r="D1169" s="8">
        <v>4</v>
      </c>
      <c r="E1169" s="11">
        <v>29500</v>
      </c>
      <c r="F1169" s="10">
        <v>118000</v>
      </c>
    </row>
    <row r="1170" spans="1:6" x14ac:dyDescent="0.25">
      <c r="A1170" s="2"/>
      <c r="B1170" s="2"/>
      <c r="C1170" s="2"/>
      <c r="D1170" s="2"/>
      <c r="E1170" s="13" t="s">
        <v>87</v>
      </c>
      <c r="F1170" s="14">
        <v>118000</v>
      </c>
    </row>
    <row r="1171" spans="1:6" ht="15.75" thickBot="1" x14ac:dyDescent="0.3">
      <c r="A1171" s="1"/>
      <c r="B1171" s="1"/>
      <c r="C1171" s="1"/>
      <c r="D1171" s="1"/>
      <c r="E1171" s="1"/>
      <c r="F1171" s="1"/>
    </row>
    <row r="1172" spans="1:6" ht="34.5" thickBot="1" x14ac:dyDescent="0.3">
      <c r="A1172" s="4" t="s">
        <v>19</v>
      </c>
      <c r="B1172" s="4" t="s">
        <v>20</v>
      </c>
      <c r="C1172" s="4" t="s">
        <v>21</v>
      </c>
      <c r="D1172" s="4" t="s">
        <v>22</v>
      </c>
      <c r="E1172" s="4" t="s">
        <v>23</v>
      </c>
      <c r="F1172" s="4" t="s">
        <v>24</v>
      </c>
    </row>
    <row r="1173" spans="1:6" ht="15.75" thickBot="1" x14ac:dyDescent="0.3">
      <c r="A1173" s="32" t="s">
        <v>322</v>
      </c>
      <c r="B1173" s="32" t="s">
        <v>323</v>
      </c>
      <c r="C1173" s="32" t="s">
        <v>27</v>
      </c>
      <c r="D1173" s="6" t="s">
        <v>28</v>
      </c>
      <c r="E1173" s="6" t="s">
        <v>262</v>
      </c>
      <c r="F1173" s="6"/>
    </row>
    <row r="1174" spans="1:6" ht="15.75" thickBot="1" x14ac:dyDescent="0.3">
      <c r="A1174" s="35" t="s">
        <v>31</v>
      </c>
      <c r="B1174" s="7" t="s">
        <v>32</v>
      </c>
      <c r="C1174" s="15">
        <v>45323</v>
      </c>
      <c r="D1174" s="35" t="s">
        <v>33</v>
      </c>
      <c r="E1174" s="7" t="s">
        <v>34</v>
      </c>
      <c r="F1174" s="6"/>
    </row>
    <row r="1175" spans="1:6" ht="15.75" thickBot="1" x14ac:dyDescent="0.3">
      <c r="A1175" s="36"/>
      <c r="B1175" s="7" t="s">
        <v>36</v>
      </c>
      <c r="C1175" s="5">
        <v>1</v>
      </c>
      <c r="D1175" s="36"/>
      <c r="E1175" s="7" t="s">
        <v>37</v>
      </c>
      <c r="F1175" s="6"/>
    </row>
    <row r="1176" spans="1:6" ht="15.75" thickBot="1" x14ac:dyDescent="0.3">
      <c r="A1176" s="36"/>
      <c r="B1176" s="7" t="s">
        <v>39</v>
      </c>
      <c r="C1176" s="15">
        <v>45381</v>
      </c>
      <c r="D1176" s="36"/>
      <c r="E1176" s="7" t="s">
        <v>40</v>
      </c>
      <c r="F1176" s="6"/>
    </row>
    <row r="1177" spans="1:6" ht="15.75" thickBot="1" x14ac:dyDescent="0.3">
      <c r="A1177" s="36"/>
      <c r="B1177" s="7" t="s">
        <v>36</v>
      </c>
      <c r="C1177" s="5">
        <v>1</v>
      </c>
      <c r="D1177" s="36"/>
      <c r="E1177" s="7" t="s">
        <v>41</v>
      </c>
      <c r="F1177" s="6"/>
    </row>
    <row r="1178" spans="1:6" ht="15.75" thickBot="1" x14ac:dyDescent="0.3">
      <c r="A1178" s="2"/>
      <c r="B1178" s="2"/>
      <c r="C1178" s="2"/>
      <c r="D1178" s="2"/>
      <c r="E1178" s="2"/>
      <c r="F1178" s="2"/>
    </row>
    <row r="1179" spans="1:6" ht="15.75" thickBot="1" x14ac:dyDescent="0.3">
      <c r="A1179" s="12" t="s">
        <v>42</v>
      </c>
      <c r="B1179" s="12" t="s">
        <v>43</v>
      </c>
      <c r="C1179" s="12" t="s">
        <v>44</v>
      </c>
      <c r="D1179" s="12" t="s">
        <v>45</v>
      </c>
      <c r="E1179" s="12" t="s">
        <v>46</v>
      </c>
      <c r="F1179" s="12" t="s">
        <v>47</v>
      </c>
    </row>
    <row r="1180" spans="1:6" x14ac:dyDescent="0.25">
      <c r="A1180" s="8">
        <v>14111704</v>
      </c>
      <c r="B1180" s="9" t="s">
        <v>112</v>
      </c>
      <c r="C1180" s="8" t="s">
        <v>55</v>
      </c>
      <c r="D1180" s="8">
        <v>600</v>
      </c>
      <c r="E1180" s="11">
        <v>875.99</v>
      </c>
      <c r="F1180" s="10">
        <v>525594</v>
      </c>
    </row>
    <row r="1181" spans="1:6" ht="22.5" x14ac:dyDescent="0.25">
      <c r="A1181" s="8">
        <v>14111703</v>
      </c>
      <c r="B1181" s="9" t="s">
        <v>105</v>
      </c>
      <c r="C1181" s="33" t="s">
        <v>55</v>
      </c>
      <c r="D1181" s="8">
        <v>200</v>
      </c>
      <c r="E1181" s="11">
        <v>894</v>
      </c>
      <c r="F1181" s="10">
        <v>178800</v>
      </c>
    </row>
    <row r="1182" spans="1:6" ht="22.5" x14ac:dyDescent="0.25">
      <c r="A1182" s="8">
        <v>14111705</v>
      </c>
      <c r="B1182" s="9" t="s">
        <v>324</v>
      </c>
      <c r="C1182" s="8" t="s">
        <v>74</v>
      </c>
      <c r="D1182" s="8">
        <v>2000</v>
      </c>
      <c r="E1182" s="11">
        <v>138.01</v>
      </c>
      <c r="F1182" s="10">
        <v>276020</v>
      </c>
    </row>
    <row r="1183" spans="1:6" x14ac:dyDescent="0.25">
      <c r="A1183" s="2"/>
      <c r="B1183" s="2"/>
      <c r="C1183" s="2"/>
      <c r="D1183" s="2"/>
      <c r="E1183" s="13" t="s">
        <v>87</v>
      </c>
      <c r="F1183" s="14">
        <v>980414</v>
      </c>
    </row>
    <row r="1184" spans="1:6" ht="15.75" thickBot="1" x14ac:dyDescent="0.3">
      <c r="A1184" s="1"/>
      <c r="B1184" s="1"/>
      <c r="C1184" s="1"/>
      <c r="D1184" s="1"/>
      <c r="E1184" s="1"/>
      <c r="F1184" s="1"/>
    </row>
    <row r="1185" spans="1:6" ht="34.5" thickBot="1" x14ac:dyDescent="0.3">
      <c r="A1185" s="4" t="s">
        <v>19</v>
      </c>
      <c r="B1185" s="4" t="s">
        <v>20</v>
      </c>
      <c r="C1185" s="4" t="s">
        <v>21</v>
      </c>
      <c r="D1185" s="4" t="s">
        <v>22</v>
      </c>
      <c r="E1185" s="4" t="s">
        <v>23</v>
      </c>
      <c r="F1185" s="4" t="s">
        <v>24</v>
      </c>
    </row>
    <row r="1186" spans="1:6" ht="15.75" thickBot="1" x14ac:dyDescent="0.3">
      <c r="A1186" s="32" t="s">
        <v>325</v>
      </c>
      <c r="B1186" s="32" t="s">
        <v>326</v>
      </c>
      <c r="C1186" s="32" t="s">
        <v>27</v>
      </c>
      <c r="D1186" s="6" t="s">
        <v>28</v>
      </c>
      <c r="E1186" s="6" t="s">
        <v>262</v>
      </c>
      <c r="F1186" s="6"/>
    </row>
    <row r="1187" spans="1:6" ht="15.75" thickBot="1" x14ac:dyDescent="0.3">
      <c r="A1187" s="35" t="s">
        <v>31</v>
      </c>
      <c r="B1187" s="7" t="s">
        <v>32</v>
      </c>
      <c r="C1187" s="15">
        <v>45323</v>
      </c>
      <c r="D1187" s="35" t="s">
        <v>33</v>
      </c>
      <c r="E1187" s="7" t="s">
        <v>34</v>
      </c>
      <c r="F1187" s="6"/>
    </row>
    <row r="1188" spans="1:6" ht="15.75" thickBot="1" x14ac:dyDescent="0.3">
      <c r="A1188" s="36"/>
      <c r="B1188" s="7" t="s">
        <v>36</v>
      </c>
      <c r="C1188" s="5">
        <v>1</v>
      </c>
      <c r="D1188" s="36"/>
      <c r="E1188" s="7" t="s">
        <v>37</v>
      </c>
      <c r="F1188" s="6"/>
    </row>
    <row r="1189" spans="1:6" ht="15.75" thickBot="1" x14ac:dyDescent="0.3">
      <c r="A1189" s="36"/>
      <c r="B1189" s="7" t="s">
        <v>39</v>
      </c>
      <c r="C1189" s="15">
        <v>45381</v>
      </c>
      <c r="D1189" s="36"/>
      <c r="E1189" s="7" t="s">
        <v>40</v>
      </c>
      <c r="F1189" s="6"/>
    </row>
    <row r="1190" spans="1:6" ht="15.75" thickBot="1" x14ac:dyDescent="0.3">
      <c r="A1190" s="36"/>
      <c r="B1190" s="7" t="s">
        <v>36</v>
      </c>
      <c r="C1190" s="5">
        <v>1</v>
      </c>
      <c r="D1190" s="36"/>
      <c r="E1190" s="7" t="s">
        <v>41</v>
      </c>
      <c r="F1190" s="6"/>
    </row>
    <row r="1191" spans="1:6" ht="15.75" thickBot="1" x14ac:dyDescent="0.3">
      <c r="A1191" s="2"/>
      <c r="B1191" s="2"/>
      <c r="C1191" s="2"/>
      <c r="D1191" s="2"/>
      <c r="E1191" s="2"/>
      <c r="F1191" s="2"/>
    </row>
    <row r="1192" spans="1:6" ht="15.75" thickBot="1" x14ac:dyDescent="0.3">
      <c r="A1192" s="12" t="s">
        <v>42</v>
      </c>
      <c r="B1192" s="12" t="s">
        <v>43</v>
      </c>
      <c r="C1192" s="12" t="s">
        <v>44</v>
      </c>
      <c r="D1192" s="12" t="s">
        <v>45</v>
      </c>
      <c r="E1192" s="12" t="s">
        <v>46</v>
      </c>
      <c r="F1192" s="12" t="s">
        <v>47</v>
      </c>
    </row>
    <row r="1193" spans="1:6" ht="33.75" x14ac:dyDescent="0.25">
      <c r="A1193" s="8">
        <v>47131803</v>
      </c>
      <c r="B1193" s="9" t="s">
        <v>100</v>
      </c>
      <c r="C1193" s="8" t="s">
        <v>92</v>
      </c>
      <c r="D1193" s="8">
        <v>600</v>
      </c>
      <c r="E1193" s="11">
        <v>383.5</v>
      </c>
      <c r="F1193" s="10">
        <v>230100</v>
      </c>
    </row>
    <row r="1194" spans="1:6" x14ac:dyDescent="0.25">
      <c r="A1194" s="8">
        <v>47131807</v>
      </c>
      <c r="B1194" s="9" t="s">
        <v>327</v>
      </c>
      <c r="C1194" s="33" t="s">
        <v>92</v>
      </c>
      <c r="D1194" s="8">
        <v>600</v>
      </c>
      <c r="E1194" s="11">
        <v>76.7</v>
      </c>
      <c r="F1194" s="10">
        <v>46020</v>
      </c>
    </row>
    <row r="1195" spans="1:6" ht="33.75" x14ac:dyDescent="0.25">
      <c r="A1195" s="8">
        <v>47131803</v>
      </c>
      <c r="B1195" s="9" t="s">
        <v>100</v>
      </c>
      <c r="C1195" s="33" t="s">
        <v>92</v>
      </c>
      <c r="D1195" s="8">
        <v>600</v>
      </c>
      <c r="E1195" s="11">
        <v>129.80000000000001</v>
      </c>
      <c r="F1195" s="10">
        <v>77880</v>
      </c>
    </row>
    <row r="1196" spans="1:6" ht="33.75" x14ac:dyDescent="0.25">
      <c r="A1196" s="8">
        <v>47131803</v>
      </c>
      <c r="B1196" s="9" t="s">
        <v>100</v>
      </c>
      <c r="C1196" s="33" t="s">
        <v>92</v>
      </c>
      <c r="D1196" s="8">
        <v>600</v>
      </c>
      <c r="E1196" s="11">
        <v>159.30000000000001</v>
      </c>
      <c r="F1196" s="10">
        <v>95580</v>
      </c>
    </row>
    <row r="1197" spans="1:6" ht="56.25" x14ac:dyDescent="0.25">
      <c r="A1197" s="8">
        <v>47121702</v>
      </c>
      <c r="B1197" s="9" t="s">
        <v>328</v>
      </c>
      <c r="C1197" s="8" t="s">
        <v>55</v>
      </c>
      <c r="D1197" s="8">
        <v>200</v>
      </c>
      <c r="E1197" s="11">
        <v>767</v>
      </c>
      <c r="F1197" s="10">
        <v>153400</v>
      </c>
    </row>
    <row r="1198" spans="1:6" ht="22.5" x14ac:dyDescent="0.25">
      <c r="A1198" s="8">
        <v>24111503</v>
      </c>
      <c r="B1198" s="9" t="s">
        <v>329</v>
      </c>
      <c r="C1198" s="8" t="s">
        <v>74</v>
      </c>
      <c r="D1198" s="8">
        <v>700</v>
      </c>
      <c r="E1198" s="11">
        <v>47.2</v>
      </c>
      <c r="F1198" s="10">
        <v>33040</v>
      </c>
    </row>
    <row r="1199" spans="1:6" ht="22.5" x14ac:dyDescent="0.25">
      <c r="A1199" s="8">
        <v>24111503</v>
      </c>
      <c r="B1199" s="9" t="s">
        <v>329</v>
      </c>
      <c r="C1199" s="33" t="s">
        <v>74</v>
      </c>
      <c r="D1199" s="8">
        <v>700</v>
      </c>
      <c r="E1199" s="11">
        <v>47.2</v>
      </c>
      <c r="F1199" s="10">
        <v>33040</v>
      </c>
    </row>
    <row r="1200" spans="1:6" ht="22.5" x14ac:dyDescent="0.25">
      <c r="A1200" s="8">
        <v>24111503</v>
      </c>
      <c r="B1200" s="9" t="s">
        <v>329</v>
      </c>
      <c r="C1200" s="33" t="s">
        <v>74</v>
      </c>
      <c r="D1200" s="8">
        <v>500</v>
      </c>
      <c r="E1200" s="11">
        <v>47.2</v>
      </c>
      <c r="F1200" s="10">
        <v>23600</v>
      </c>
    </row>
    <row r="1201" spans="1:6" x14ac:dyDescent="0.25">
      <c r="A1201" s="8">
        <v>47131604</v>
      </c>
      <c r="B1201" s="9" t="s">
        <v>103</v>
      </c>
      <c r="C1201" s="33" t="s">
        <v>55</v>
      </c>
      <c r="D1201" s="8">
        <v>600</v>
      </c>
      <c r="E1201" s="11">
        <v>165.2</v>
      </c>
      <c r="F1201" s="10">
        <v>99120</v>
      </c>
    </row>
    <row r="1202" spans="1:6" ht="22.5" x14ac:dyDescent="0.25">
      <c r="A1202" s="8">
        <v>47131618</v>
      </c>
      <c r="B1202" s="9" t="s">
        <v>113</v>
      </c>
      <c r="C1202" s="33" t="s">
        <v>55</v>
      </c>
      <c r="D1202" s="8">
        <v>600</v>
      </c>
      <c r="E1202" s="11">
        <v>206.5</v>
      </c>
      <c r="F1202" s="10">
        <v>123900</v>
      </c>
    </row>
    <row r="1203" spans="1:6" ht="22.5" x14ac:dyDescent="0.25">
      <c r="A1203" s="8">
        <v>47131611</v>
      </c>
      <c r="B1203" s="9" t="s">
        <v>330</v>
      </c>
      <c r="C1203" s="33" t="s">
        <v>55</v>
      </c>
      <c r="D1203" s="8">
        <v>150</v>
      </c>
      <c r="E1203" s="11">
        <v>106.2</v>
      </c>
      <c r="F1203" s="10">
        <v>15930</v>
      </c>
    </row>
    <row r="1204" spans="1:6" x14ac:dyDescent="0.25">
      <c r="A1204" s="8">
        <v>47131604</v>
      </c>
      <c r="B1204" s="9" t="s">
        <v>103</v>
      </c>
      <c r="C1204" s="33" t="s">
        <v>55</v>
      </c>
      <c r="D1204" s="8">
        <v>200</v>
      </c>
      <c r="E1204" s="11">
        <v>177</v>
      </c>
      <c r="F1204" s="10">
        <v>35400</v>
      </c>
    </row>
    <row r="1205" spans="1:6" ht="33.75" x14ac:dyDescent="0.25">
      <c r="A1205" s="8">
        <v>47131824</v>
      </c>
      <c r="B1205" s="9" t="s">
        <v>331</v>
      </c>
      <c r="C1205" s="33" t="s">
        <v>55</v>
      </c>
      <c r="D1205" s="8">
        <v>150</v>
      </c>
      <c r="E1205" s="11">
        <v>147.5</v>
      </c>
      <c r="F1205" s="10">
        <v>22125</v>
      </c>
    </row>
    <row r="1206" spans="1:6" ht="33.75" x14ac:dyDescent="0.25">
      <c r="A1206" s="8">
        <v>47131502</v>
      </c>
      <c r="B1206" s="9" t="s">
        <v>116</v>
      </c>
      <c r="C1206" s="33" t="s">
        <v>55</v>
      </c>
      <c r="D1206" s="8">
        <v>600</v>
      </c>
      <c r="E1206" s="11">
        <v>57.82</v>
      </c>
      <c r="F1206" s="10">
        <v>34692</v>
      </c>
    </row>
    <row r="1207" spans="1:6" x14ac:dyDescent="0.25">
      <c r="A1207" s="8">
        <v>47131604</v>
      </c>
      <c r="B1207" s="9" t="s">
        <v>103</v>
      </c>
      <c r="C1207" s="33" t="s">
        <v>55</v>
      </c>
      <c r="D1207" s="8">
        <v>25</v>
      </c>
      <c r="E1207" s="11">
        <v>1121</v>
      </c>
      <c r="F1207" s="10">
        <v>28025</v>
      </c>
    </row>
    <row r="1208" spans="1:6" ht="22.5" x14ac:dyDescent="0.25">
      <c r="A1208" s="8">
        <v>46181504</v>
      </c>
      <c r="B1208" s="9" t="s">
        <v>117</v>
      </c>
      <c r="C1208" s="33" t="s">
        <v>55</v>
      </c>
      <c r="D1208" s="8">
        <v>600</v>
      </c>
      <c r="E1208" s="11">
        <v>82.6</v>
      </c>
      <c r="F1208" s="10">
        <v>49560</v>
      </c>
    </row>
    <row r="1209" spans="1:6" ht="33.75" x14ac:dyDescent="0.25">
      <c r="A1209" s="8">
        <v>47131803</v>
      </c>
      <c r="B1209" s="9" t="s">
        <v>100</v>
      </c>
      <c r="C1209" s="33" t="s">
        <v>55</v>
      </c>
      <c r="D1209" s="8">
        <v>500</v>
      </c>
      <c r="E1209" s="11">
        <v>525</v>
      </c>
      <c r="F1209" s="10">
        <v>262500</v>
      </c>
    </row>
    <row r="1210" spans="1:6" ht="33.75" x14ac:dyDescent="0.25">
      <c r="A1210" s="8">
        <v>47131502</v>
      </c>
      <c r="B1210" s="9" t="s">
        <v>116</v>
      </c>
      <c r="C1210" s="33" t="s">
        <v>55</v>
      </c>
      <c r="D1210" s="8">
        <v>300</v>
      </c>
      <c r="E1210" s="11">
        <v>106.2</v>
      </c>
      <c r="F1210" s="10">
        <v>31860</v>
      </c>
    </row>
    <row r="1211" spans="1:6" ht="22.5" x14ac:dyDescent="0.25">
      <c r="A1211" s="8">
        <v>47131812</v>
      </c>
      <c r="B1211" s="9" t="s">
        <v>332</v>
      </c>
      <c r="C1211" s="33" t="s">
        <v>55</v>
      </c>
      <c r="D1211" s="8">
        <v>1200</v>
      </c>
      <c r="E1211" s="11">
        <v>135.69999999999999</v>
      </c>
      <c r="F1211" s="10">
        <v>162840</v>
      </c>
    </row>
    <row r="1212" spans="1:6" x14ac:dyDescent="0.25">
      <c r="A1212" s="8">
        <v>47131816</v>
      </c>
      <c r="B1212" s="9" t="s">
        <v>199</v>
      </c>
      <c r="C1212" s="33" t="s">
        <v>55</v>
      </c>
      <c r="D1212" s="8">
        <v>300</v>
      </c>
      <c r="E1212" s="11">
        <v>59</v>
      </c>
      <c r="F1212" s="10">
        <v>17700</v>
      </c>
    </row>
    <row r="1213" spans="1:6" ht="22.5" x14ac:dyDescent="0.25">
      <c r="A1213" s="8">
        <v>47121804</v>
      </c>
      <c r="B1213" s="9" t="s">
        <v>333</v>
      </c>
      <c r="C1213" s="33" t="s">
        <v>55</v>
      </c>
      <c r="D1213" s="8">
        <v>100</v>
      </c>
      <c r="E1213" s="11">
        <v>265.5</v>
      </c>
      <c r="F1213" s="10">
        <v>26550</v>
      </c>
    </row>
    <row r="1214" spans="1:6" ht="22.5" x14ac:dyDescent="0.25">
      <c r="A1214" s="8">
        <v>47121806</v>
      </c>
      <c r="B1214" s="9" t="s">
        <v>334</v>
      </c>
      <c r="C1214" s="33" t="s">
        <v>55</v>
      </c>
      <c r="D1214" s="8">
        <v>12</v>
      </c>
      <c r="E1214" s="11">
        <v>5841</v>
      </c>
      <c r="F1214" s="10">
        <v>70092</v>
      </c>
    </row>
    <row r="1215" spans="1:6" x14ac:dyDescent="0.25">
      <c r="A1215" s="2"/>
      <c r="B1215" s="2"/>
      <c r="C1215" s="2"/>
      <c r="D1215" s="2"/>
      <c r="E1215" s="13" t="s">
        <v>87</v>
      </c>
      <c r="F1215" s="14">
        <v>1672954</v>
      </c>
    </row>
    <row r="1216" spans="1:6" ht="15.75" thickBot="1" x14ac:dyDescent="0.3">
      <c r="A1216" s="1"/>
      <c r="B1216" s="1"/>
      <c r="C1216" s="1"/>
      <c r="D1216" s="1"/>
      <c r="E1216" s="1"/>
      <c r="F1216" s="1"/>
    </row>
    <row r="1217" spans="1:6" ht="34.5" thickBot="1" x14ac:dyDescent="0.3">
      <c r="A1217" s="4" t="s">
        <v>19</v>
      </c>
      <c r="B1217" s="4" t="s">
        <v>20</v>
      </c>
      <c r="C1217" s="4" t="s">
        <v>21</v>
      </c>
      <c r="D1217" s="4" t="s">
        <v>22</v>
      </c>
      <c r="E1217" s="4" t="s">
        <v>23</v>
      </c>
      <c r="F1217" s="4" t="s">
        <v>24</v>
      </c>
    </row>
    <row r="1218" spans="1:6" ht="15.75" thickBot="1" x14ac:dyDescent="0.3">
      <c r="A1218" s="32" t="s">
        <v>335</v>
      </c>
      <c r="B1218" s="32" t="s">
        <v>336</v>
      </c>
      <c r="C1218" s="32" t="s">
        <v>27</v>
      </c>
      <c r="D1218" s="6" t="s">
        <v>28</v>
      </c>
      <c r="E1218" s="6" t="s">
        <v>262</v>
      </c>
      <c r="F1218" s="6"/>
    </row>
    <row r="1219" spans="1:6" ht="15.75" thickBot="1" x14ac:dyDescent="0.3">
      <c r="A1219" s="35" t="s">
        <v>31</v>
      </c>
      <c r="B1219" s="7" t="s">
        <v>32</v>
      </c>
      <c r="C1219" s="15">
        <v>45323</v>
      </c>
      <c r="D1219" s="35" t="s">
        <v>33</v>
      </c>
      <c r="E1219" s="7" t="s">
        <v>34</v>
      </c>
      <c r="F1219" s="6"/>
    </row>
    <row r="1220" spans="1:6" ht="15.75" thickBot="1" x14ac:dyDescent="0.3">
      <c r="A1220" s="36"/>
      <c r="B1220" s="7" t="s">
        <v>36</v>
      </c>
      <c r="C1220" s="5">
        <v>1</v>
      </c>
      <c r="D1220" s="36"/>
      <c r="E1220" s="7" t="s">
        <v>37</v>
      </c>
      <c r="F1220" s="6"/>
    </row>
    <row r="1221" spans="1:6" ht="15.75" thickBot="1" x14ac:dyDescent="0.3">
      <c r="A1221" s="36"/>
      <c r="B1221" s="7" t="s">
        <v>39</v>
      </c>
      <c r="C1221" s="15">
        <v>45381</v>
      </c>
      <c r="D1221" s="36"/>
      <c r="E1221" s="7" t="s">
        <v>40</v>
      </c>
      <c r="F1221" s="6"/>
    </row>
    <row r="1222" spans="1:6" ht="15.75" thickBot="1" x14ac:dyDescent="0.3">
      <c r="A1222" s="36"/>
      <c r="B1222" s="7" t="s">
        <v>36</v>
      </c>
      <c r="C1222" s="5">
        <v>1</v>
      </c>
      <c r="D1222" s="36"/>
      <c r="E1222" s="7" t="s">
        <v>41</v>
      </c>
      <c r="F1222" s="6"/>
    </row>
    <row r="1223" spans="1:6" ht="15.75" thickBot="1" x14ac:dyDescent="0.3">
      <c r="A1223" s="2"/>
      <c r="B1223" s="2"/>
      <c r="C1223" s="2"/>
      <c r="D1223" s="2"/>
      <c r="E1223" s="2"/>
      <c r="F1223" s="2"/>
    </row>
    <row r="1224" spans="1:6" ht="15.75" thickBot="1" x14ac:dyDescent="0.3">
      <c r="A1224" s="12" t="s">
        <v>42</v>
      </c>
      <c r="B1224" s="12" t="s">
        <v>43</v>
      </c>
      <c r="C1224" s="12" t="s">
        <v>44</v>
      </c>
      <c r="D1224" s="12" t="s">
        <v>45</v>
      </c>
      <c r="E1224" s="12" t="s">
        <v>46</v>
      </c>
      <c r="F1224" s="12" t="s">
        <v>47</v>
      </c>
    </row>
    <row r="1225" spans="1:6" x14ac:dyDescent="0.25">
      <c r="A1225" s="8">
        <v>55121727</v>
      </c>
      <c r="B1225" s="9" t="s">
        <v>337</v>
      </c>
      <c r="C1225" s="8" t="s">
        <v>55</v>
      </c>
      <c r="D1225" s="8">
        <v>10</v>
      </c>
      <c r="E1225" s="11">
        <v>31364.400000000001</v>
      </c>
      <c r="F1225" s="10">
        <v>313644</v>
      </c>
    </row>
    <row r="1226" spans="1:6" x14ac:dyDescent="0.25">
      <c r="A1226" s="2"/>
      <c r="B1226" s="2"/>
      <c r="C1226" s="2"/>
      <c r="D1226" s="2"/>
      <c r="E1226" s="13" t="s">
        <v>87</v>
      </c>
      <c r="F1226" s="14">
        <v>313644</v>
      </c>
    </row>
    <row r="1227" spans="1:6" ht="15.75" thickBot="1" x14ac:dyDescent="0.3">
      <c r="A1227" s="1"/>
      <c r="B1227" s="1"/>
      <c r="C1227" s="1"/>
      <c r="D1227" s="1"/>
      <c r="E1227" s="1"/>
      <c r="F1227" s="1"/>
    </row>
    <row r="1228" spans="1:6" ht="34.5" thickBot="1" x14ac:dyDescent="0.3">
      <c r="A1228" s="4" t="s">
        <v>19</v>
      </c>
      <c r="B1228" s="4" t="s">
        <v>20</v>
      </c>
      <c r="C1228" s="4" t="s">
        <v>21</v>
      </c>
      <c r="D1228" s="4" t="s">
        <v>22</v>
      </c>
      <c r="E1228" s="4" t="s">
        <v>23</v>
      </c>
      <c r="F1228" s="4" t="s">
        <v>24</v>
      </c>
    </row>
    <row r="1229" spans="1:6" ht="15.75" thickBot="1" x14ac:dyDescent="0.3">
      <c r="A1229" s="32" t="s">
        <v>338</v>
      </c>
      <c r="B1229" s="32" t="s">
        <v>339</v>
      </c>
      <c r="C1229" s="32" t="s">
        <v>27</v>
      </c>
      <c r="D1229" s="6" t="s">
        <v>188</v>
      </c>
      <c r="E1229" s="6" t="s">
        <v>262</v>
      </c>
      <c r="F1229" s="6"/>
    </row>
    <row r="1230" spans="1:6" ht="15.75" thickBot="1" x14ac:dyDescent="0.3">
      <c r="A1230" s="35" t="s">
        <v>31</v>
      </c>
      <c r="B1230" s="7" t="s">
        <v>32</v>
      </c>
      <c r="C1230" s="15">
        <v>45323</v>
      </c>
      <c r="D1230" s="35" t="s">
        <v>33</v>
      </c>
      <c r="E1230" s="7" t="s">
        <v>34</v>
      </c>
      <c r="F1230" s="6"/>
    </row>
    <row r="1231" spans="1:6" ht="15.75" thickBot="1" x14ac:dyDescent="0.3">
      <c r="A1231" s="36"/>
      <c r="B1231" s="7" t="s">
        <v>36</v>
      </c>
      <c r="C1231" s="5">
        <v>1</v>
      </c>
      <c r="D1231" s="36"/>
      <c r="E1231" s="7" t="s">
        <v>37</v>
      </c>
      <c r="F1231" s="6"/>
    </row>
    <row r="1232" spans="1:6" ht="15.75" thickBot="1" x14ac:dyDescent="0.3">
      <c r="A1232" s="36"/>
      <c r="B1232" s="7" t="s">
        <v>39</v>
      </c>
      <c r="C1232" s="15">
        <v>45381</v>
      </c>
      <c r="D1232" s="36"/>
      <c r="E1232" s="7" t="s">
        <v>40</v>
      </c>
      <c r="F1232" s="6"/>
    </row>
    <row r="1233" spans="1:6" ht="15.75" thickBot="1" x14ac:dyDescent="0.3">
      <c r="A1233" s="36"/>
      <c r="B1233" s="7" t="s">
        <v>36</v>
      </c>
      <c r="C1233" s="5">
        <v>1</v>
      </c>
      <c r="D1233" s="36"/>
      <c r="E1233" s="7" t="s">
        <v>41</v>
      </c>
      <c r="F1233" s="6"/>
    </row>
    <row r="1234" spans="1:6" ht="15.75" thickBot="1" x14ac:dyDescent="0.3">
      <c r="A1234" s="2"/>
      <c r="B1234" s="2"/>
      <c r="C1234" s="2"/>
      <c r="D1234" s="2"/>
      <c r="E1234" s="2"/>
      <c r="F1234" s="2"/>
    </row>
    <row r="1235" spans="1:6" ht="15.75" thickBot="1" x14ac:dyDescent="0.3">
      <c r="A1235" s="12" t="s">
        <v>42</v>
      </c>
      <c r="B1235" s="12" t="s">
        <v>43</v>
      </c>
      <c r="C1235" s="12" t="s">
        <v>44</v>
      </c>
      <c r="D1235" s="12" t="s">
        <v>45</v>
      </c>
      <c r="E1235" s="12" t="s">
        <v>46</v>
      </c>
      <c r="F1235" s="12" t="s">
        <v>47</v>
      </c>
    </row>
    <row r="1236" spans="1:6" ht="33.75" x14ac:dyDescent="0.25">
      <c r="A1236" s="8">
        <v>82121505</v>
      </c>
      <c r="B1236" s="9" t="s">
        <v>340</v>
      </c>
      <c r="C1236" s="33" t="s">
        <v>55</v>
      </c>
      <c r="D1236" s="8">
        <v>6</v>
      </c>
      <c r="E1236" s="11">
        <v>20060</v>
      </c>
      <c r="F1236" s="10">
        <v>120360</v>
      </c>
    </row>
    <row r="1237" spans="1:6" x14ac:dyDescent="0.25">
      <c r="A1237" s="2"/>
      <c r="B1237" s="2"/>
      <c r="C1237" s="2"/>
      <c r="D1237" s="2"/>
      <c r="E1237" s="13" t="s">
        <v>87</v>
      </c>
      <c r="F1237" s="14">
        <v>120360</v>
      </c>
    </row>
    <row r="1238" spans="1:6" ht="15.75" thickBot="1" x14ac:dyDescent="0.3">
      <c r="A1238" s="1"/>
      <c r="B1238" s="1"/>
      <c r="C1238" s="1"/>
      <c r="D1238" s="1"/>
      <c r="E1238" s="1"/>
      <c r="F1238" s="1"/>
    </row>
    <row r="1239" spans="1:6" ht="34.5" thickBot="1" x14ac:dyDescent="0.3">
      <c r="A1239" s="4" t="s">
        <v>19</v>
      </c>
      <c r="B1239" s="4" t="s">
        <v>20</v>
      </c>
      <c r="C1239" s="4" t="s">
        <v>21</v>
      </c>
      <c r="D1239" s="4" t="s">
        <v>22</v>
      </c>
      <c r="E1239" s="4" t="s">
        <v>23</v>
      </c>
      <c r="F1239" s="4" t="s">
        <v>24</v>
      </c>
    </row>
    <row r="1240" spans="1:6" ht="15.75" thickBot="1" x14ac:dyDescent="0.3">
      <c r="A1240" s="32" t="s">
        <v>341</v>
      </c>
      <c r="B1240" s="32" t="s">
        <v>342</v>
      </c>
      <c r="C1240" s="32" t="s">
        <v>27</v>
      </c>
      <c r="D1240" s="6" t="s">
        <v>28</v>
      </c>
      <c r="E1240" s="6" t="s">
        <v>262</v>
      </c>
      <c r="F1240" s="6"/>
    </row>
    <row r="1241" spans="1:6" ht="15.75" thickBot="1" x14ac:dyDescent="0.3">
      <c r="A1241" s="35" t="s">
        <v>31</v>
      </c>
      <c r="B1241" s="7" t="s">
        <v>32</v>
      </c>
      <c r="C1241" s="15">
        <v>45323</v>
      </c>
      <c r="D1241" s="35" t="s">
        <v>33</v>
      </c>
      <c r="E1241" s="7" t="s">
        <v>34</v>
      </c>
      <c r="F1241" s="6"/>
    </row>
    <row r="1242" spans="1:6" ht="15.75" thickBot="1" x14ac:dyDescent="0.3">
      <c r="A1242" s="36"/>
      <c r="B1242" s="7" t="s">
        <v>36</v>
      </c>
      <c r="C1242" s="5">
        <v>1</v>
      </c>
      <c r="D1242" s="36"/>
      <c r="E1242" s="7" t="s">
        <v>37</v>
      </c>
      <c r="F1242" s="6"/>
    </row>
    <row r="1243" spans="1:6" ht="15.75" thickBot="1" x14ac:dyDescent="0.3">
      <c r="A1243" s="36"/>
      <c r="B1243" s="7" t="s">
        <v>39</v>
      </c>
      <c r="C1243" s="15">
        <v>45381</v>
      </c>
      <c r="D1243" s="36"/>
      <c r="E1243" s="7" t="s">
        <v>40</v>
      </c>
      <c r="F1243" s="6"/>
    </row>
    <row r="1244" spans="1:6" ht="15.75" thickBot="1" x14ac:dyDescent="0.3">
      <c r="A1244" s="36"/>
      <c r="B1244" s="7" t="s">
        <v>36</v>
      </c>
      <c r="C1244" s="5">
        <v>1</v>
      </c>
      <c r="D1244" s="36"/>
      <c r="E1244" s="7" t="s">
        <v>41</v>
      </c>
      <c r="F1244" s="6"/>
    </row>
    <row r="1245" spans="1:6" ht="15.75" thickBot="1" x14ac:dyDescent="0.3">
      <c r="A1245" s="2"/>
      <c r="B1245" s="2"/>
      <c r="C1245" s="2"/>
      <c r="D1245" s="2"/>
      <c r="E1245" s="2"/>
      <c r="F1245" s="2"/>
    </row>
    <row r="1246" spans="1:6" ht="15.75" thickBot="1" x14ac:dyDescent="0.3">
      <c r="A1246" s="12" t="s">
        <v>42</v>
      </c>
      <c r="B1246" s="12" t="s">
        <v>43</v>
      </c>
      <c r="C1246" s="12" t="s">
        <v>44</v>
      </c>
      <c r="D1246" s="12" t="s">
        <v>45</v>
      </c>
      <c r="E1246" s="12" t="s">
        <v>46</v>
      </c>
      <c r="F1246" s="12" t="s">
        <v>47</v>
      </c>
    </row>
    <row r="1247" spans="1:6" ht="22.5" x14ac:dyDescent="0.25">
      <c r="A1247" s="8">
        <v>50181905</v>
      </c>
      <c r="B1247" s="9" t="s">
        <v>343</v>
      </c>
      <c r="C1247" s="33" t="s">
        <v>55</v>
      </c>
      <c r="D1247" s="8">
        <v>5000</v>
      </c>
      <c r="E1247" s="11">
        <v>183.96</v>
      </c>
      <c r="F1247" s="10">
        <v>919800</v>
      </c>
    </row>
    <row r="1248" spans="1:6" x14ac:dyDescent="0.25">
      <c r="A1248" s="2"/>
      <c r="B1248" s="2"/>
      <c r="C1248" s="2"/>
      <c r="D1248" s="2"/>
      <c r="E1248" s="13" t="s">
        <v>87</v>
      </c>
      <c r="F1248" s="14">
        <v>919800</v>
      </c>
    </row>
    <row r="1249" spans="1:6" ht="15.75" thickBot="1" x14ac:dyDescent="0.3">
      <c r="A1249" s="1"/>
      <c r="B1249" s="1"/>
      <c r="C1249" s="1"/>
      <c r="D1249" s="1"/>
      <c r="E1249" s="1"/>
      <c r="F1249" s="1"/>
    </row>
    <row r="1250" spans="1:6" ht="34.5" thickBot="1" x14ac:dyDescent="0.3">
      <c r="A1250" s="4" t="s">
        <v>19</v>
      </c>
      <c r="B1250" s="4" t="s">
        <v>20</v>
      </c>
      <c r="C1250" s="4" t="s">
        <v>21</v>
      </c>
      <c r="D1250" s="4" t="s">
        <v>22</v>
      </c>
      <c r="E1250" s="4" t="s">
        <v>23</v>
      </c>
      <c r="F1250" s="4" t="s">
        <v>24</v>
      </c>
    </row>
    <row r="1251" spans="1:6" ht="15.75" thickBot="1" x14ac:dyDescent="0.3">
      <c r="A1251" s="32" t="s">
        <v>344</v>
      </c>
      <c r="B1251" s="32" t="s">
        <v>345</v>
      </c>
      <c r="C1251" s="32" t="s">
        <v>27</v>
      </c>
      <c r="D1251" s="6" t="s">
        <v>188</v>
      </c>
      <c r="E1251" s="6" t="s">
        <v>262</v>
      </c>
      <c r="F1251" s="6"/>
    </row>
    <row r="1252" spans="1:6" ht="15.75" thickBot="1" x14ac:dyDescent="0.3">
      <c r="A1252" s="35" t="s">
        <v>31</v>
      </c>
      <c r="B1252" s="7" t="s">
        <v>32</v>
      </c>
      <c r="C1252" s="15">
        <v>45323</v>
      </c>
      <c r="D1252" s="35" t="s">
        <v>33</v>
      </c>
      <c r="E1252" s="7" t="s">
        <v>34</v>
      </c>
      <c r="F1252" s="6"/>
    </row>
    <row r="1253" spans="1:6" ht="15.75" thickBot="1" x14ac:dyDescent="0.3">
      <c r="A1253" s="36"/>
      <c r="B1253" s="7" t="s">
        <v>36</v>
      </c>
      <c r="C1253" s="5">
        <v>1</v>
      </c>
      <c r="D1253" s="36"/>
      <c r="E1253" s="7" t="s">
        <v>37</v>
      </c>
      <c r="F1253" s="6"/>
    </row>
    <row r="1254" spans="1:6" ht="15.75" thickBot="1" x14ac:dyDescent="0.3">
      <c r="A1254" s="36"/>
      <c r="B1254" s="7" t="s">
        <v>39</v>
      </c>
      <c r="C1254" s="15">
        <v>45381</v>
      </c>
      <c r="D1254" s="36"/>
      <c r="E1254" s="7" t="s">
        <v>40</v>
      </c>
      <c r="F1254" s="6"/>
    </row>
    <row r="1255" spans="1:6" ht="15.75" thickBot="1" x14ac:dyDescent="0.3">
      <c r="A1255" s="36"/>
      <c r="B1255" s="7" t="s">
        <v>36</v>
      </c>
      <c r="C1255" s="5">
        <v>1</v>
      </c>
      <c r="D1255" s="36"/>
      <c r="E1255" s="7" t="s">
        <v>41</v>
      </c>
      <c r="F1255" s="6"/>
    </row>
    <row r="1256" spans="1:6" ht="15.75" thickBot="1" x14ac:dyDescent="0.3">
      <c r="A1256" s="2"/>
      <c r="B1256" s="2"/>
      <c r="C1256" s="2"/>
      <c r="D1256" s="2"/>
      <c r="E1256" s="2"/>
      <c r="F1256" s="2"/>
    </row>
    <row r="1257" spans="1:6" ht="15.75" thickBot="1" x14ac:dyDescent="0.3">
      <c r="A1257" s="12" t="s">
        <v>42</v>
      </c>
      <c r="B1257" s="12" t="s">
        <v>43</v>
      </c>
      <c r="C1257" s="12" t="s">
        <v>44</v>
      </c>
      <c r="D1257" s="12" t="s">
        <v>45</v>
      </c>
      <c r="E1257" s="12" t="s">
        <v>46</v>
      </c>
      <c r="F1257" s="12" t="s">
        <v>47</v>
      </c>
    </row>
    <row r="1258" spans="1:6" ht="22.5" x14ac:dyDescent="0.25">
      <c r="A1258" s="8">
        <v>45111802</v>
      </c>
      <c r="B1258" s="9" t="s">
        <v>346</v>
      </c>
      <c r="C1258" s="8" t="s">
        <v>55</v>
      </c>
      <c r="D1258" s="8">
        <v>2</v>
      </c>
      <c r="E1258" s="11">
        <v>23895</v>
      </c>
      <c r="F1258" s="10">
        <v>47790</v>
      </c>
    </row>
    <row r="1259" spans="1:6" x14ac:dyDescent="0.25">
      <c r="A1259" s="8">
        <v>52161505</v>
      </c>
      <c r="B1259" s="9" t="s">
        <v>165</v>
      </c>
      <c r="C1259" s="33" t="s">
        <v>55</v>
      </c>
      <c r="D1259" s="8">
        <v>2</v>
      </c>
      <c r="E1259" s="11">
        <v>58056</v>
      </c>
      <c r="F1259" s="10">
        <v>116112</v>
      </c>
    </row>
    <row r="1260" spans="1:6" x14ac:dyDescent="0.25">
      <c r="A1260" s="2"/>
      <c r="B1260" s="2"/>
      <c r="C1260" s="2"/>
      <c r="D1260" s="2"/>
      <c r="E1260" s="13" t="s">
        <v>87</v>
      </c>
      <c r="F1260" s="14">
        <v>163902</v>
      </c>
    </row>
    <row r="1261" spans="1:6" ht="15.75" thickBot="1" x14ac:dyDescent="0.3">
      <c r="A1261" s="1"/>
      <c r="B1261" s="1"/>
      <c r="C1261" s="1"/>
      <c r="D1261" s="1"/>
      <c r="E1261" s="1"/>
      <c r="F1261" s="1"/>
    </row>
    <row r="1262" spans="1:6" ht="34.5" thickBot="1" x14ac:dyDescent="0.3">
      <c r="A1262" s="4" t="s">
        <v>19</v>
      </c>
      <c r="B1262" s="4" t="s">
        <v>20</v>
      </c>
      <c r="C1262" s="4" t="s">
        <v>21</v>
      </c>
      <c r="D1262" s="4" t="s">
        <v>22</v>
      </c>
      <c r="E1262" s="4" t="s">
        <v>23</v>
      </c>
      <c r="F1262" s="4" t="s">
        <v>24</v>
      </c>
    </row>
    <row r="1263" spans="1:6" ht="15.75" thickBot="1" x14ac:dyDescent="0.3">
      <c r="A1263" s="32" t="s">
        <v>347</v>
      </c>
      <c r="B1263" s="32" t="s">
        <v>348</v>
      </c>
      <c r="C1263" s="32" t="s">
        <v>27</v>
      </c>
      <c r="D1263" s="6" t="s">
        <v>188</v>
      </c>
      <c r="E1263" s="6" t="s">
        <v>262</v>
      </c>
      <c r="F1263" s="6"/>
    </row>
    <row r="1264" spans="1:6" ht="15.75" thickBot="1" x14ac:dyDescent="0.3">
      <c r="A1264" s="35" t="s">
        <v>31</v>
      </c>
      <c r="B1264" s="7" t="s">
        <v>32</v>
      </c>
      <c r="C1264" s="15">
        <v>45323</v>
      </c>
      <c r="D1264" s="35" t="s">
        <v>33</v>
      </c>
      <c r="E1264" s="7" t="s">
        <v>34</v>
      </c>
      <c r="F1264" s="6"/>
    </row>
    <row r="1265" spans="1:6" ht="15.75" thickBot="1" x14ac:dyDescent="0.3">
      <c r="A1265" s="36"/>
      <c r="B1265" s="7" t="s">
        <v>36</v>
      </c>
      <c r="C1265" s="5">
        <v>1</v>
      </c>
      <c r="D1265" s="36"/>
      <c r="E1265" s="7" t="s">
        <v>37</v>
      </c>
      <c r="F1265" s="6"/>
    </row>
    <row r="1266" spans="1:6" ht="15.75" thickBot="1" x14ac:dyDescent="0.3">
      <c r="A1266" s="36"/>
      <c r="B1266" s="7" t="s">
        <v>39</v>
      </c>
      <c r="C1266" s="15">
        <v>45381</v>
      </c>
      <c r="D1266" s="36"/>
      <c r="E1266" s="7" t="s">
        <v>40</v>
      </c>
      <c r="F1266" s="6"/>
    </row>
    <row r="1267" spans="1:6" ht="15.75" thickBot="1" x14ac:dyDescent="0.3">
      <c r="A1267" s="36"/>
      <c r="B1267" s="7" t="s">
        <v>36</v>
      </c>
      <c r="C1267" s="5">
        <v>1</v>
      </c>
      <c r="D1267" s="36"/>
      <c r="E1267" s="7" t="s">
        <v>41</v>
      </c>
      <c r="F1267" s="6"/>
    </row>
    <row r="1268" spans="1:6" ht="15.75" thickBot="1" x14ac:dyDescent="0.3">
      <c r="A1268" s="2"/>
      <c r="B1268" s="2"/>
      <c r="C1268" s="2"/>
      <c r="D1268" s="2"/>
      <c r="E1268" s="2"/>
      <c r="F1268" s="2"/>
    </row>
    <row r="1269" spans="1:6" ht="15.75" thickBot="1" x14ac:dyDescent="0.3">
      <c r="A1269" s="12" t="s">
        <v>42</v>
      </c>
      <c r="B1269" s="12" t="s">
        <v>43</v>
      </c>
      <c r="C1269" s="12" t="s">
        <v>44</v>
      </c>
      <c r="D1269" s="12" t="s">
        <v>45</v>
      </c>
      <c r="E1269" s="12" t="s">
        <v>46</v>
      </c>
      <c r="F1269" s="12" t="s">
        <v>47</v>
      </c>
    </row>
    <row r="1270" spans="1:6" ht="33.75" x14ac:dyDescent="0.25">
      <c r="A1270" s="8">
        <v>52161509</v>
      </c>
      <c r="B1270" s="9" t="s">
        <v>349</v>
      </c>
      <c r="C1270" s="33" t="s">
        <v>55</v>
      </c>
      <c r="D1270" s="8">
        <v>6</v>
      </c>
      <c r="E1270" s="11">
        <v>12980</v>
      </c>
      <c r="F1270" s="10">
        <v>77880</v>
      </c>
    </row>
    <row r="1271" spans="1:6" x14ac:dyDescent="0.25">
      <c r="A1271" s="2"/>
      <c r="B1271" s="2"/>
      <c r="C1271" s="2"/>
      <c r="D1271" s="2"/>
      <c r="E1271" s="13" t="s">
        <v>87</v>
      </c>
      <c r="F1271" s="14">
        <v>77880</v>
      </c>
    </row>
    <row r="1272" spans="1:6" ht="15.75" thickBot="1" x14ac:dyDescent="0.3">
      <c r="A1272" s="1"/>
      <c r="B1272" s="1"/>
      <c r="C1272" s="1"/>
      <c r="D1272" s="1"/>
      <c r="E1272" s="1"/>
      <c r="F1272" s="1"/>
    </row>
    <row r="1273" spans="1:6" ht="34.5" thickBot="1" x14ac:dyDescent="0.3">
      <c r="A1273" s="4" t="s">
        <v>19</v>
      </c>
      <c r="B1273" s="4" t="s">
        <v>20</v>
      </c>
      <c r="C1273" s="4" t="s">
        <v>21</v>
      </c>
      <c r="D1273" s="4" t="s">
        <v>22</v>
      </c>
      <c r="E1273" s="4" t="s">
        <v>23</v>
      </c>
      <c r="F1273" s="4" t="s">
        <v>24</v>
      </c>
    </row>
    <row r="1274" spans="1:6" ht="15.75" thickBot="1" x14ac:dyDescent="0.3">
      <c r="A1274" s="32" t="s">
        <v>350</v>
      </c>
      <c r="B1274" s="32" t="s">
        <v>351</v>
      </c>
      <c r="C1274" s="32" t="s">
        <v>27</v>
      </c>
      <c r="D1274" s="6" t="s">
        <v>188</v>
      </c>
      <c r="E1274" s="6" t="s">
        <v>262</v>
      </c>
      <c r="F1274" s="6"/>
    </row>
    <row r="1275" spans="1:6" ht="15.75" thickBot="1" x14ac:dyDescent="0.3">
      <c r="A1275" s="35" t="s">
        <v>31</v>
      </c>
      <c r="B1275" s="7" t="s">
        <v>32</v>
      </c>
      <c r="C1275" s="15">
        <v>45323</v>
      </c>
      <c r="D1275" s="35" t="s">
        <v>33</v>
      </c>
      <c r="E1275" s="7" t="s">
        <v>34</v>
      </c>
      <c r="F1275" s="6"/>
    </row>
    <row r="1276" spans="1:6" ht="15.75" thickBot="1" x14ac:dyDescent="0.3">
      <c r="A1276" s="36"/>
      <c r="B1276" s="7" t="s">
        <v>36</v>
      </c>
      <c r="C1276" s="5">
        <v>1</v>
      </c>
      <c r="D1276" s="36"/>
      <c r="E1276" s="7" t="s">
        <v>37</v>
      </c>
      <c r="F1276" s="6"/>
    </row>
    <row r="1277" spans="1:6" ht="15.75" thickBot="1" x14ac:dyDescent="0.3">
      <c r="A1277" s="36"/>
      <c r="B1277" s="7" t="s">
        <v>39</v>
      </c>
      <c r="C1277" s="15">
        <v>45381</v>
      </c>
      <c r="D1277" s="36"/>
      <c r="E1277" s="7" t="s">
        <v>40</v>
      </c>
      <c r="F1277" s="6"/>
    </row>
    <row r="1278" spans="1:6" ht="15.75" thickBot="1" x14ac:dyDescent="0.3">
      <c r="A1278" s="36"/>
      <c r="B1278" s="7" t="s">
        <v>36</v>
      </c>
      <c r="C1278" s="5">
        <v>1</v>
      </c>
      <c r="D1278" s="36"/>
      <c r="E1278" s="7" t="s">
        <v>41</v>
      </c>
      <c r="F1278" s="6"/>
    </row>
    <row r="1279" spans="1:6" ht="15.75" thickBot="1" x14ac:dyDescent="0.3">
      <c r="A1279" s="2"/>
      <c r="B1279" s="2"/>
      <c r="C1279" s="2"/>
      <c r="D1279" s="2"/>
      <c r="E1279" s="2"/>
      <c r="F1279" s="2"/>
    </row>
    <row r="1280" spans="1:6" ht="15.75" thickBot="1" x14ac:dyDescent="0.3">
      <c r="A1280" s="12" t="s">
        <v>42</v>
      </c>
      <c r="B1280" s="12" t="s">
        <v>43</v>
      </c>
      <c r="C1280" s="12" t="s">
        <v>44</v>
      </c>
      <c r="D1280" s="12" t="s">
        <v>45</v>
      </c>
      <c r="E1280" s="12" t="s">
        <v>46</v>
      </c>
      <c r="F1280" s="12" t="s">
        <v>47</v>
      </c>
    </row>
    <row r="1281" spans="1:6" ht="22.5" x14ac:dyDescent="0.25">
      <c r="A1281" s="8">
        <v>52121701</v>
      </c>
      <c r="B1281" s="9" t="s">
        <v>352</v>
      </c>
      <c r="C1281" s="33" t="s">
        <v>55</v>
      </c>
      <c r="D1281" s="8">
        <v>500</v>
      </c>
      <c r="E1281" s="11">
        <v>2950</v>
      </c>
      <c r="F1281" s="10">
        <v>1475000</v>
      </c>
    </row>
    <row r="1282" spans="1:6" x14ac:dyDescent="0.25">
      <c r="A1282" s="2"/>
      <c r="B1282" s="2"/>
      <c r="C1282" s="2"/>
      <c r="D1282" s="2"/>
      <c r="E1282" s="13" t="s">
        <v>87</v>
      </c>
      <c r="F1282" s="14">
        <v>1475000</v>
      </c>
    </row>
    <row r="1283" spans="1:6" ht="15.75" thickBot="1" x14ac:dyDescent="0.3">
      <c r="A1283" s="1"/>
      <c r="B1283" s="1"/>
      <c r="C1283" s="1"/>
      <c r="D1283" s="1"/>
      <c r="E1283" s="1"/>
      <c r="F1283" s="1"/>
    </row>
    <row r="1284" spans="1:6" ht="34.5" thickBot="1" x14ac:dyDescent="0.3">
      <c r="A1284" s="4" t="s">
        <v>19</v>
      </c>
      <c r="B1284" s="4" t="s">
        <v>20</v>
      </c>
      <c r="C1284" s="4" t="s">
        <v>21</v>
      </c>
      <c r="D1284" s="4" t="s">
        <v>22</v>
      </c>
      <c r="E1284" s="4" t="s">
        <v>23</v>
      </c>
      <c r="F1284" s="4" t="s">
        <v>24</v>
      </c>
    </row>
    <row r="1285" spans="1:6" ht="15.75" thickBot="1" x14ac:dyDescent="0.3">
      <c r="A1285" s="32" t="s">
        <v>353</v>
      </c>
      <c r="B1285" s="32" t="s">
        <v>354</v>
      </c>
      <c r="C1285" s="32" t="s">
        <v>129</v>
      </c>
      <c r="D1285" s="6" t="s">
        <v>28</v>
      </c>
      <c r="E1285" s="6" t="s">
        <v>262</v>
      </c>
      <c r="F1285" s="6"/>
    </row>
    <row r="1286" spans="1:6" ht="15.75" thickBot="1" x14ac:dyDescent="0.3">
      <c r="A1286" s="35" t="s">
        <v>31</v>
      </c>
      <c r="B1286" s="7" t="s">
        <v>32</v>
      </c>
      <c r="C1286" s="15">
        <v>45323</v>
      </c>
      <c r="D1286" s="35" t="s">
        <v>33</v>
      </c>
      <c r="E1286" s="7" t="s">
        <v>34</v>
      </c>
      <c r="F1286" s="6"/>
    </row>
    <row r="1287" spans="1:6" ht="15.75" thickBot="1" x14ac:dyDescent="0.3">
      <c r="A1287" s="36"/>
      <c r="B1287" s="7" t="s">
        <v>36</v>
      </c>
      <c r="C1287" s="5">
        <v>1</v>
      </c>
      <c r="D1287" s="36"/>
      <c r="E1287" s="7" t="s">
        <v>37</v>
      </c>
      <c r="F1287" s="6"/>
    </row>
    <row r="1288" spans="1:6" ht="15.75" thickBot="1" x14ac:dyDescent="0.3">
      <c r="A1288" s="36"/>
      <c r="B1288" s="7" t="s">
        <v>39</v>
      </c>
      <c r="C1288" s="15">
        <v>45381</v>
      </c>
      <c r="D1288" s="36"/>
      <c r="E1288" s="7" t="s">
        <v>40</v>
      </c>
      <c r="F1288" s="6"/>
    </row>
    <row r="1289" spans="1:6" ht="15.75" thickBot="1" x14ac:dyDescent="0.3">
      <c r="A1289" s="36"/>
      <c r="B1289" s="7" t="s">
        <v>36</v>
      </c>
      <c r="C1289" s="5">
        <v>1</v>
      </c>
      <c r="D1289" s="36"/>
      <c r="E1289" s="7" t="s">
        <v>41</v>
      </c>
      <c r="F1289" s="6"/>
    </row>
    <row r="1290" spans="1:6" ht="15.75" thickBot="1" x14ac:dyDescent="0.3">
      <c r="A1290" s="2"/>
      <c r="B1290" s="2"/>
      <c r="C1290" s="2"/>
      <c r="D1290" s="2"/>
      <c r="E1290" s="2"/>
      <c r="F1290" s="2"/>
    </row>
    <row r="1291" spans="1:6" ht="15.75" thickBot="1" x14ac:dyDescent="0.3">
      <c r="A1291" s="12" t="s">
        <v>42</v>
      </c>
      <c r="B1291" s="12" t="s">
        <v>43</v>
      </c>
      <c r="C1291" s="12" t="s">
        <v>44</v>
      </c>
      <c r="D1291" s="12" t="s">
        <v>45</v>
      </c>
      <c r="E1291" s="12" t="s">
        <v>46</v>
      </c>
      <c r="F1291" s="12" t="s">
        <v>47</v>
      </c>
    </row>
    <row r="1292" spans="1:6" ht="22.5" x14ac:dyDescent="0.25">
      <c r="A1292" s="8">
        <v>15101505</v>
      </c>
      <c r="B1292" s="9" t="s">
        <v>93</v>
      </c>
      <c r="C1292" s="8" t="s">
        <v>92</v>
      </c>
      <c r="D1292" s="8">
        <v>1000</v>
      </c>
      <c r="E1292" s="11">
        <v>293.10000000000002</v>
      </c>
      <c r="F1292" s="10">
        <v>293100</v>
      </c>
    </row>
    <row r="1293" spans="1:6" x14ac:dyDescent="0.25">
      <c r="A1293" s="2"/>
      <c r="B1293" s="2"/>
      <c r="C1293" s="2"/>
      <c r="D1293" s="2"/>
      <c r="E1293" s="13" t="s">
        <v>87</v>
      </c>
      <c r="F1293" s="14">
        <v>293100</v>
      </c>
    </row>
    <row r="1294" spans="1:6" ht="15.75" thickBot="1" x14ac:dyDescent="0.3">
      <c r="A1294" s="1"/>
      <c r="B1294" s="1"/>
      <c r="C1294" s="1"/>
      <c r="D1294" s="1"/>
      <c r="E1294" s="1"/>
      <c r="F1294" s="1"/>
    </row>
    <row r="1295" spans="1:6" ht="34.5" thickBot="1" x14ac:dyDescent="0.3">
      <c r="A1295" s="4" t="s">
        <v>19</v>
      </c>
      <c r="B1295" s="4" t="s">
        <v>20</v>
      </c>
      <c r="C1295" s="4" t="s">
        <v>21</v>
      </c>
      <c r="D1295" s="4" t="s">
        <v>22</v>
      </c>
      <c r="E1295" s="4" t="s">
        <v>23</v>
      </c>
      <c r="F1295" s="4" t="s">
        <v>24</v>
      </c>
    </row>
    <row r="1296" spans="1:6" ht="15.75" thickBot="1" x14ac:dyDescent="0.3">
      <c r="A1296" s="32" t="s">
        <v>355</v>
      </c>
      <c r="B1296" s="32" t="s">
        <v>356</v>
      </c>
      <c r="C1296" s="32" t="s">
        <v>27</v>
      </c>
      <c r="D1296" s="6" t="s">
        <v>28</v>
      </c>
      <c r="E1296" s="32" t="s">
        <v>29</v>
      </c>
      <c r="F1296" s="6"/>
    </row>
    <row r="1297" spans="1:6" ht="15.75" thickBot="1" x14ac:dyDescent="0.3">
      <c r="A1297" s="35" t="s">
        <v>31</v>
      </c>
      <c r="B1297" s="7" t="s">
        <v>32</v>
      </c>
      <c r="C1297" s="15">
        <v>45323</v>
      </c>
      <c r="D1297" s="35" t="s">
        <v>33</v>
      </c>
      <c r="E1297" s="7" t="s">
        <v>34</v>
      </c>
      <c r="F1297" s="6"/>
    </row>
    <row r="1298" spans="1:6" ht="15.75" thickBot="1" x14ac:dyDescent="0.3">
      <c r="A1298" s="36"/>
      <c r="B1298" s="7" t="s">
        <v>36</v>
      </c>
      <c r="C1298" s="5">
        <v>1</v>
      </c>
      <c r="D1298" s="36"/>
      <c r="E1298" s="7" t="s">
        <v>37</v>
      </c>
      <c r="F1298" s="6"/>
    </row>
    <row r="1299" spans="1:6" ht="15.75" thickBot="1" x14ac:dyDescent="0.3">
      <c r="A1299" s="36"/>
      <c r="B1299" s="7" t="s">
        <v>39</v>
      </c>
      <c r="C1299" s="15">
        <v>45381</v>
      </c>
      <c r="D1299" s="36"/>
      <c r="E1299" s="7" t="s">
        <v>40</v>
      </c>
      <c r="F1299" s="6"/>
    </row>
    <row r="1300" spans="1:6" ht="15.75" thickBot="1" x14ac:dyDescent="0.3">
      <c r="A1300" s="36"/>
      <c r="B1300" s="7" t="s">
        <v>36</v>
      </c>
      <c r="C1300" s="5">
        <v>1</v>
      </c>
      <c r="D1300" s="36"/>
      <c r="E1300" s="7" t="s">
        <v>41</v>
      </c>
      <c r="F1300" s="6"/>
    </row>
    <row r="1301" spans="1:6" ht="15.75" thickBot="1" x14ac:dyDescent="0.3">
      <c r="A1301" s="2"/>
      <c r="B1301" s="2"/>
      <c r="C1301" s="2"/>
      <c r="D1301" s="2"/>
      <c r="E1301" s="2"/>
      <c r="F1301" s="2"/>
    </row>
    <row r="1302" spans="1:6" ht="15.75" thickBot="1" x14ac:dyDescent="0.3">
      <c r="A1302" s="12" t="s">
        <v>42</v>
      </c>
      <c r="B1302" s="12" t="s">
        <v>43</v>
      </c>
      <c r="C1302" s="12" t="s">
        <v>44</v>
      </c>
      <c r="D1302" s="12" t="s">
        <v>45</v>
      </c>
      <c r="E1302" s="12" t="s">
        <v>46</v>
      </c>
      <c r="F1302" s="12" t="s">
        <v>47</v>
      </c>
    </row>
    <row r="1303" spans="1:6" ht="22.5" x14ac:dyDescent="0.25">
      <c r="A1303" s="8">
        <v>26121607</v>
      </c>
      <c r="B1303" s="9" t="s">
        <v>357</v>
      </c>
      <c r="C1303" s="8" t="s">
        <v>55</v>
      </c>
      <c r="D1303" s="8">
        <v>4</v>
      </c>
      <c r="E1303" s="11">
        <v>17582</v>
      </c>
      <c r="F1303" s="10">
        <v>70328</v>
      </c>
    </row>
    <row r="1304" spans="1:6" ht="22.5" x14ac:dyDescent="0.25">
      <c r="A1304" s="8">
        <v>26121607</v>
      </c>
      <c r="B1304" s="9" t="s">
        <v>357</v>
      </c>
      <c r="C1304" s="33" t="s">
        <v>55</v>
      </c>
      <c r="D1304" s="8">
        <v>20</v>
      </c>
      <c r="E1304" s="11">
        <v>1888</v>
      </c>
      <c r="F1304" s="10">
        <v>37760</v>
      </c>
    </row>
    <row r="1305" spans="1:6" ht="22.5" x14ac:dyDescent="0.25">
      <c r="A1305" s="8">
        <v>26121607</v>
      </c>
      <c r="B1305" s="9" t="s">
        <v>357</v>
      </c>
      <c r="C1305" s="33" t="s">
        <v>55</v>
      </c>
      <c r="D1305" s="8">
        <v>12</v>
      </c>
      <c r="E1305" s="11">
        <v>2360</v>
      </c>
      <c r="F1305" s="10">
        <v>28320</v>
      </c>
    </row>
    <row r="1306" spans="1:6" ht="45" x14ac:dyDescent="0.25">
      <c r="A1306" s="8">
        <v>43201553</v>
      </c>
      <c r="B1306" s="9" t="s">
        <v>358</v>
      </c>
      <c r="C1306" s="33" t="s">
        <v>55</v>
      </c>
      <c r="D1306" s="8">
        <v>16</v>
      </c>
      <c r="E1306" s="11">
        <v>20768</v>
      </c>
      <c r="F1306" s="10">
        <v>332288</v>
      </c>
    </row>
    <row r="1307" spans="1:6" ht="45" x14ac:dyDescent="0.25">
      <c r="A1307" s="8">
        <v>43201553</v>
      </c>
      <c r="B1307" s="9" t="s">
        <v>358</v>
      </c>
      <c r="C1307" s="33" t="s">
        <v>55</v>
      </c>
      <c r="D1307" s="8">
        <v>16</v>
      </c>
      <c r="E1307" s="11">
        <v>7670</v>
      </c>
      <c r="F1307" s="10">
        <v>122720</v>
      </c>
    </row>
    <row r="1308" spans="1:6" x14ac:dyDescent="0.25">
      <c r="A1308" s="8">
        <v>26121609</v>
      </c>
      <c r="B1308" s="9" t="s">
        <v>359</v>
      </c>
      <c r="C1308" s="33" t="s">
        <v>55</v>
      </c>
      <c r="D1308" s="8">
        <v>22</v>
      </c>
      <c r="E1308" s="11">
        <v>5015</v>
      </c>
      <c r="F1308" s="10">
        <v>110330</v>
      </c>
    </row>
    <row r="1309" spans="1:6" x14ac:dyDescent="0.25">
      <c r="A1309" s="8">
        <v>26121609</v>
      </c>
      <c r="B1309" s="9" t="s">
        <v>359</v>
      </c>
      <c r="C1309" s="33" t="s">
        <v>55</v>
      </c>
      <c r="D1309" s="8">
        <v>20</v>
      </c>
      <c r="E1309" s="11">
        <v>2891</v>
      </c>
      <c r="F1309" s="10">
        <v>57820</v>
      </c>
    </row>
    <row r="1310" spans="1:6" x14ac:dyDescent="0.25">
      <c r="A1310" s="8">
        <v>47121602</v>
      </c>
      <c r="B1310" s="9" t="s">
        <v>360</v>
      </c>
      <c r="C1310" s="33" t="s">
        <v>55</v>
      </c>
      <c r="D1310" s="8">
        <v>2</v>
      </c>
      <c r="E1310" s="11">
        <v>12862</v>
      </c>
      <c r="F1310" s="10">
        <v>25724</v>
      </c>
    </row>
    <row r="1311" spans="1:6" ht="22.5" x14ac:dyDescent="0.25">
      <c r="A1311" s="8">
        <v>43201807</v>
      </c>
      <c r="B1311" s="9" t="s">
        <v>361</v>
      </c>
      <c r="C1311" s="33" t="s">
        <v>55</v>
      </c>
      <c r="D1311" s="8">
        <v>32</v>
      </c>
      <c r="E1311" s="11">
        <v>5369</v>
      </c>
      <c r="F1311" s="10">
        <v>171808</v>
      </c>
    </row>
    <row r="1312" spans="1:6" ht="33.75" x14ac:dyDescent="0.25">
      <c r="A1312" s="8">
        <v>43201404</v>
      </c>
      <c r="B1312" s="9" t="s">
        <v>362</v>
      </c>
      <c r="C1312" s="33" t="s">
        <v>55</v>
      </c>
      <c r="D1312" s="8">
        <v>2</v>
      </c>
      <c r="E1312" s="11">
        <v>23434.799999999999</v>
      </c>
      <c r="F1312" s="10">
        <v>46869.599999999999</v>
      </c>
    </row>
    <row r="1313" spans="1:6" ht="33.75" x14ac:dyDescent="0.25">
      <c r="A1313" s="8">
        <v>43201404</v>
      </c>
      <c r="B1313" s="9" t="s">
        <v>362</v>
      </c>
      <c r="C1313" s="33" t="s">
        <v>55</v>
      </c>
      <c r="D1313" s="8">
        <v>1</v>
      </c>
      <c r="E1313" s="11">
        <v>17700</v>
      </c>
      <c r="F1313" s="10">
        <v>17700</v>
      </c>
    </row>
    <row r="1314" spans="1:6" ht="33.75" x14ac:dyDescent="0.25">
      <c r="A1314" s="8">
        <v>39121011</v>
      </c>
      <c r="B1314" s="9" t="s">
        <v>363</v>
      </c>
      <c r="C1314" s="33" t="s">
        <v>55</v>
      </c>
      <c r="D1314" s="8">
        <v>2</v>
      </c>
      <c r="E1314" s="11">
        <v>36462</v>
      </c>
      <c r="F1314" s="10">
        <v>72924</v>
      </c>
    </row>
    <row r="1315" spans="1:6" ht="22.5" x14ac:dyDescent="0.25">
      <c r="A1315" s="8">
        <v>39121702</v>
      </c>
      <c r="B1315" s="9" t="s">
        <v>364</v>
      </c>
      <c r="C1315" s="33" t="s">
        <v>55</v>
      </c>
      <c r="D1315" s="8">
        <v>2</v>
      </c>
      <c r="E1315" s="11">
        <v>20001</v>
      </c>
      <c r="F1315" s="10">
        <v>40002</v>
      </c>
    </row>
    <row r="1316" spans="1:6" ht="45" x14ac:dyDescent="0.25">
      <c r="A1316" s="8">
        <v>43201538</v>
      </c>
      <c r="B1316" s="9" t="s">
        <v>365</v>
      </c>
      <c r="C1316" s="33" t="s">
        <v>55</v>
      </c>
      <c r="D1316" s="8">
        <v>3</v>
      </c>
      <c r="E1316" s="11">
        <v>7670</v>
      </c>
      <c r="F1316" s="10">
        <v>23010</v>
      </c>
    </row>
    <row r="1317" spans="1:6" ht="33.75" x14ac:dyDescent="0.25">
      <c r="A1317" s="8">
        <v>43201552</v>
      </c>
      <c r="B1317" s="9" t="s">
        <v>366</v>
      </c>
      <c r="C1317" s="33" t="s">
        <v>55</v>
      </c>
      <c r="D1317" s="8">
        <v>10</v>
      </c>
      <c r="E1317" s="11">
        <v>2271.5</v>
      </c>
      <c r="F1317" s="10">
        <v>22715</v>
      </c>
    </row>
    <row r="1318" spans="1:6" ht="22.5" x14ac:dyDescent="0.25">
      <c r="A1318" s="8">
        <v>43201802</v>
      </c>
      <c r="B1318" s="9" t="s">
        <v>367</v>
      </c>
      <c r="C1318" s="33" t="s">
        <v>55</v>
      </c>
      <c r="D1318" s="8">
        <v>4</v>
      </c>
      <c r="E1318" s="11">
        <v>18850.5</v>
      </c>
      <c r="F1318" s="10">
        <v>75402</v>
      </c>
    </row>
    <row r="1319" spans="1:6" x14ac:dyDescent="0.25">
      <c r="A1319" s="2"/>
      <c r="B1319" s="2"/>
      <c r="C1319" s="2"/>
      <c r="D1319" s="2"/>
      <c r="E1319" s="13" t="s">
        <v>87</v>
      </c>
      <c r="F1319" s="14">
        <v>1255720.6000000001</v>
      </c>
    </row>
    <row r="1320" spans="1:6" ht="15.75" thickBot="1" x14ac:dyDescent="0.3">
      <c r="A1320" s="1"/>
      <c r="B1320" s="1"/>
      <c r="C1320" s="1"/>
      <c r="D1320" s="1"/>
      <c r="E1320" s="1"/>
      <c r="F1320" s="1"/>
    </row>
    <row r="1321" spans="1:6" ht="34.5" thickBot="1" x14ac:dyDescent="0.3">
      <c r="A1321" s="4" t="s">
        <v>19</v>
      </c>
      <c r="B1321" s="4" t="s">
        <v>20</v>
      </c>
      <c r="C1321" s="4" t="s">
        <v>21</v>
      </c>
      <c r="D1321" s="4" t="s">
        <v>22</v>
      </c>
      <c r="E1321" s="4" t="s">
        <v>23</v>
      </c>
      <c r="F1321" s="4" t="s">
        <v>24</v>
      </c>
    </row>
    <row r="1322" spans="1:6" ht="15.75" thickBot="1" x14ac:dyDescent="0.3">
      <c r="A1322" s="32" t="s">
        <v>368</v>
      </c>
      <c r="B1322" s="32" t="s">
        <v>369</v>
      </c>
      <c r="C1322" s="32" t="s">
        <v>27</v>
      </c>
      <c r="D1322" s="6" t="s">
        <v>28</v>
      </c>
      <c r="E1322" s="6" t="s">
        <v>262</v>
      </c>
      <c r="F1322" s="6"/>
    </row>
    <row r="1323" spans="1:6" ht="15.75" thickBot="1" x14ac:dyDescent="0.3">
      <c r="A1323" s="35" t="s">
        <v>31</v>
      </c>
      <c r="B1323" s="7" t="s">
        <v>32</v>
      </c>
      <c r="C1323" s="15">
        <v>45323</v>
      </c>
      <c r="D1323" s="35" t="s">
        <v>33</v>
      </c>
      <c r="E1323" s="7" t="s">
        <v>34</v>
      </c>
      <c r="F1323" s="6"/>
    </row>
    <row r="1324" spans="1:6" ht="15.75" thickBot="1" x14ac:dyDescent="0.3">
      <c r="A1324" s="36"/>
      <c r="B1324" s="7" t="s">
        <v>36</v>
      </c>
      <c r="C1324" s="5">
        <v>1</v>
      </c>
      <c r="D1324" s="36"/>
      <c r="E1324" s="7" t="s">
        <v>37</v>
      </c>
      <c r="F1324" s="6"/>
    </row>
    <row r="1325" spans="1:6" ht="15.75" thickBot="1" x14ac:dyDescent="0.3">
      <c r="A1325" s="36"/>
      <c r="B1325" s="7" t="s">
        <v>39</v>
      </c>
      <c r="C1325" s="15">
        <v>45381</v>
      </c>
      <c r="D1325" s="36"/>
      <c r="E1325" s="7" t="s">
        <v>40</v>
      </c>
      <c r="F1325" s="6"/>
    </row>
    <row r="1326" spans="1:6" ht="15.75" thickBot="1" x14ac:dyDescent="0.3">
      <c r="A1326" s="36"/>
      <c r="B1326" s="7" t="s">
        <v>36</v>
      </c>
      <c r="C1326" s="5">
        <v>1</v>
      </c>
      <c r="D1326" s="36"/>
      <c r="E1326" s="7" t="s">
        <v>41</v>
      </c>
      <c r="F1326" s="6"/>
    </row>
    <row r="1327" spans="1:6" ht="15.75" thickBot="1" x14ac:dyDescent="0.3">
      <c r="A1327" s="2"/>
      <c r="B1327" s="2"/>
      <c r="C1327" s="2"/>
      <c r="D1327" s="2"/>
      <c r="E1327" s="2"/>
      <c r="F1327" s="2"/>
    </row>
    <row r="1328" spans="1:6" ht="15.75" thickBot="1" x14ac:dyDescent="0.3">
      <c r="A1328" s="12" t="s">
        <v>42</v>
      </c>
      <c r="B1328" s="12" t="s">
        <v>43</v>
      </c>
      <c r="C1328" s="12" t="s">
        <v>44</v>
      </c>
      <c r="D1328" s="12" t="s">
        <v>45</v>
      </c>
      <c r="E1328" s="12" t="s">
        <v>46</v>
      </c>
      <c r="F1328" s="12" t="s">
        <v>47</v>
      </c>
    </row>
    <row r="1329" spans="1:6" x14ac:dyDescent="0.25">
      <c r="A1329" s="8">
        <v>44122003</v>
      </c>
      <c r="B1329" s="9" t="s">
        <v>54</v>
      </c>
      <c r="C1329" s="33" t="s">
        <v>55</v>
      </c>
      <c r="D1329" s="8">
        <v>200</v>
      </c>
      <c r="E1329" s="11">
        <v>185</v>
      </c>
      <c r="F1329" s="10">
        <v>37000</v>
      </c>
    </row>
    <row r="1330" spans="1:6" x14ac:dyDescent="0.25">
      <c r="A1330" s="8">
        <v>44122003</v>
      </c>
      <c r="B1330" s="9" t="s">
        <v>54</v>
      </c>
      <c r="C1330" s="33" t="s">
        <v>55</v>
      </c>
      <c r="D1330" s="8">
        <v>200</v>
      </c>
      <c r="E1330" s="11">
        <v>275</v>
      </c>
      <c r="F1330" s="10">
        <v>55000</v>
      </c>
    </row>
    <row r="1331" spans="1:6" x14ac:dyDescent="0.25">
      <c r="A1331" s="8">
        <v>44122003</v>
      </c>
      <c r="B1331" s="9" t="s">
        <v>54</v>
      </c>
      <c r="C1331" s="33" t="s">
        <v>55</v>
      </c>
      <c r="D1331" s="8">
        <v>200</v>
      </c>
      <c r="E1331" s="11">
        <v>422</v>
      </c>
      <c r="F1331" s="10">
        <v>84400</v>
      </c>
    </row>
    <row r="1332" spans="1:6" ht="22.5" x14ac:dyDescent="0.25">
      <c r="A1332" s="8">
        <v>44122002</v>
      </c>
      <c r="B1332" s="9" t="s">
        <v>242</v>
      </c>
      <c r="C1332" s="8" t="s">
        <v>49</v>
      </c>
      <c r="D1332" s="8">
        <v>500</v>
      </c>
      <c r="E1332" s="11">
        <v>350</v>
      </c>
      <c r="F1332" s="10">
        <v>175000</v>
      </c>
    </row>
    <row r="1333" spans="1:6" ht="33.75" x14ac:dyDescent="0.25">
      <c r="A1333" s="8">
        <v>44122022</v>
      </c>
      <c r="B1333" s="9" t="s">
        <v>370</v>
      </c>
      <c r="C1333" s="33" t="s">
        <v>55</v>
      </c>
      <c r="D1333" s="8">
        <v>500</v>
      </c>
      <c r="E1333" s="11">
        <v>15</v>
      </c>
      <c r="F1333" s="10">
        <v>7500</v>
      </c>
    </row>
    <row r="1334" spans="1:6" x14ac:dyDescent="0.25">
      <c r="A1334" s="8">
        <v>44122012</v>
      </c>
      <c r="B1334" s="9" t="s">
        <v>56</v>
      </c>
      <c r="C1334" s="33" t="s">
        <v>55</v>
      </c>
      <c r="D1334" s="8">
        <v>200</v>
      </c>
      <c r="E1334" s="11">
        <v>250</v>
      </c>
      <c r="F1334" s="10">
        <v>50000</v>
      </c>
    </row>
    <row r="1335" spans="1:6" x14ac:dyDescent="0.25">
      <c r="A1335" s="8">
        <v>44122011</v>
      </c>
      <c r="B1335" s="9" t="s">
        <v>52</v>
      </c>
      <c r="C1335" s="33" t="s">
        <v>49</v>
      </c>
      <c r="D1335" s="8">
        <v>200</v>
      </c>
      <c r="E1335" s="11">
        <v>577.61</v>
      </c>
      <c r="F1335" s="10">
        <v>115522</v>
      </c>
    </row>
    <row r="1336" spans="1:6" x14ac:dyDescent="0.25">
      <c r="A1336" s="8">
        <v>44122011</v>
      </c>
      <c r="B1336" s="9" t="s">
        <v>52</v>
      </c>
      <c r="C1336" s="33" t="s">
        <v>49</v>
      </c>
      <c r="D1336" s="8">
        <v>450</v>
      </c>
      <c r="E1336" s="11">
        <v>250</v>
      </c>
      <c r="F1336" s="10">
        <v>112500</v>
      </c>
    </row>
    <row r="1337" spans="1:6" ht="33.75" x14ac:dyDescent="0.25">
      <c r="A1337" s="8">
        <v>44122027</v>
      </c>
      <c r="B1337" s="9" t="s">
        <v>371</v>
      </c>
      <c r="C1337" s="33" t="s">
        <v>49</v>
      </c>
      <c r="D1337" s="8">
        <v>25</v>
      </c>
      <c r="E1337" s="11">
        <v>1155.8699999999999</v>
      </c>
      <c r="F1337" s="10">
        <v>28896.749999999996</v>
      </c>
    </row>
    <row r="1338" spans="1:6" ht="22.5" x14ac:dyDescent="0.25">
      <c r="A1338" s="8">
        <v>44122013</v>
      </c>
      <c r="B1338" s="9" t="s">
        <v>372</v>
      </c>
      <c r="C1338" s="33" t="s">
        <v>49</v>
      </c>
      <c r="D1338" s="8">
        <v>50</v>
      </c>
      <c r="E1338" s="11">
        <v>650</v>
      </c>
      <c r="F1338" s="10">
        <v>32500</v>
      </c>
    </row>
    <row r="1339" spans="1:6" x14ac:dyDescent="0.25">
      <c r="A1339" s="8">
        <v>44122011</v>
      </c>
      <c r="B1339" s="9" t="s">
        <v>52</v>
      </c>
      <c r="C1339" s="33" t="s">
        <v>49</v>
      </c>
      <c r="D1339" s="8">
        <v>25</v>
      </c>
      <c r="E1339" s="11">
        <v>2000</v>
      </c>
      <c r="F1339" s="10">
        <v>50000</v>
      </c>
    </row>
    <row r="1340" spans="1:6" x14ac:dyDescent="0.25">
      <c r="A1340" s="2"/>
      <c r="B1340" s="2"/>
      <c r="C1340" s="2"/>
      <c r="D1340" s="2"/>
      <c r="E1340" s="13" t="s">
        <v>87</v>
      </c>
      <c r="F1340" s="14">
        <v>748318.75</v>
      </c>
    </row>
    <row r="1341" spans="1:6" ht="15.75" thickBot="1" x14ac:dyDescent="0.3">
      <c r="A1341" s="1"/>
      <c r="B1341" s="1"/>
      <c r="C1341" s="1"/>
      <c r="D1341" s="1"/>
      <c r="E1341" s="1"/>
      <c r="F1341" s="1"/>
    </row>
    <row r="1342" spans="1:6" ht="34.5" thickBot="1" x14ac:dyDescent="0.3">
      <c r="A1342" s="4" t="s">
        <v>19</v>
      </c>
      <c r="B1342" s="4" t="s">
        <v>20</v>
      </c>
      <c r="C1342" s="4" t="s">
        <v>21</v>
      </c>
      <c r="D1342" s="4" t="s">
        <v>22</v>
      </c>
      <c r="E1342" s="4" t="s">
        <v>23</v>
      </c>
      <c r="F1342" s="4" t="s">
        <v>24</v>
      </c>
    </row>
    <row r="1343" spans="1:6" ht="15.75" thickBot="1" x14ac:dyDescent="0.3">
      <c r="A1343" s="32" t="s">
        <v>373</v>
      </c>
      <c r="B1343" s="32" t="s">
        <v>374</v>
      </c>
      <c r="C1343" s="32" t="s">
        <v>129</v>
      </c>
      <c r="D1343" s="6" t="s">
        <v>28</v>
      </c>
      <c r="E1343" s="6" t="s">
        <v>262</v>
      </c>
      <c r="F1343" s="6"/>
    </row>
    <row r="1344" spans="1:6" ht="15.75" thickBot="1" x14ac:dyDescent="0.3">
      <c r="A1344" s="35" t="s">
        <v>31</v>
      </c>
      <c r="B1344" s="7" t="s">
        <v>32</v>
      </c>
      <c r="C1344" s="15">
        <v>45323</v>
      </c>
      <c r="D1344" s="35" t="s">
        <v>33</v>
      </c>
      <c r="E1344" s="7" t="s">
        <v>34</v>
      </c>
      <c r="F1344" s="6"/>
    </row>
    <row r="1345" spans="1:6" ht="15.75" thickBot="1" x14ac:dyDescent="0.3">
      <c r="A1345" s="36"/>
      <c r="B1345" s="7" t="s">
        <v>36</v>
      </c>
      <c r="C1345" s="5">
        <v>1</v>
      </c>
      <c r="D1345" s="36"/>
      <c r="E1345" s="7" t="s">
        <v>37</v>
      </c>
      <c r="F1345" s="6"/>
    </row>
    <row r="1346" spans="1:6" ht="15.75" thickBot="1" x14ac:dyDescent="0.3">
      <c r="A1346" s="36"/>
      <c r="B1346" s="7" t="s">
        <v>39</v>
      </c>
      <c r="C1346" s="15">
        <v>45381</v>
      </c>
      <c r="D1346" s="36"/>
      <c r="E1346" s="7" t="s">
        <v>40</v>
      </c>
      <c r="F1346" s="6"/>
    </row>
    <row r="1347" spans="1:6" ht="15.75" thickBot="1" x14ac:dyDescent="0.3">
      <c r="A1347" s="36"/>
      <c r="B1347" s="7" t="s">
        <v>36</v>
      </c>
      <c r="C1347" s="5">
        <v>1</v>
      </c>
      <c r="D1347" s="36"/>
      <c r="E1347" s="7" t="s">
        <v>41</v>
      </c>
      <c r="F1347" s="6"/>
    </row>
    <row r="1348" spans="1:6" ht="15.75" thickBot="1" x14ac:dyDescent="0.3">
      <c r="A1348" s="2"/>
      <c r="B1348" s="2"/>
      <c r="C1348" s="2"/>
      <c r="D1348" s="2"/>
      <c r="E1348" s="2"/>
      <c r="F1348" s="2"/>
    </row>
    <row r="1349" spans="1:6" ht="15.75" thickBot="1" x14ac:dyDescent="0.3">
      <c r="A1349" s="12" t="s">
        <v>42</v>
      </c>
      <c r="B1349" s="12" t="s">
        <v>43</v>
      </c>
      <c r="C1349" s="12" t="s">
        <v>44</v>
      </c>
      <c r="D1349" s="12" t="s">
        <v>45</v>
      </c>
      <c r="E1349" s="12" t="s">
        <v>46</v>
      </c>
      <c r="F1349" s="12" t="s">
        <v>47</v>
      </c>
    </row>
    <row r="1350" spans="1:6" ht="33.75" x14ac:dyDescent="0.25">
      <c r="A1350" s="8">
        <v>72101607</v>
      </c>
      <c r="B1350" s="9" t="s">
        <v>375</v>
      </c>
      <c r="C1350" s="8" t="s">
        <v>55</v>
      </c>
      <c r="D1350" s="8">
        <v>1</v>
      </c>
      <c r="E1350" s="11">
        <v>850000</v>
      </c>
      <c r="F1350" s="10">
        <v>850000</v>
      </c>
    </row>
    <row r="1351" spans="1:6" ht="22.5" x14ac:dyDescent="0.25">
      <c r="A1351" s="8">
        <v>72102004</v>
      </c>
      <c r="B1351" s="9" t="s">
        <v>376</v>
      </c>
      <c r="C1351" s="8" t="s">
        <v>55</v>
      </c>
      <c r="D1351" s="8">
        <v>1</v>
      </c>
      <c r="E1351" s="11">
        <v>850000</v>
      </c>
      <c r="F1351" s="10">
        <v>850000</v>
      </c>
    </row>
    <row r="1352" spans="1:6" x14ac:dyDescent="0.25">
      <c r="A1352" s="2"/>
      <c r="B1352" s="2"/>
      <c r="C1352" s="2"/>
      <c r="D1352" s="2"/>
      <c r="E1352" s="13" t="s">
        <v>87</v>
      </c>
      <c r="F1352" s="14">
        <v>1700000</v>
      </c>
    </row>
    <row r="1353" spans="1:6" ht="15.75" thickBot="1" x14ac:dyDescent="0.3">
      <c r="A1353" s="1"/>
      <c r="B1353" s="1"/>
      <c r="C1353" s="1"/>
      <c r="D1353" s="1"/>
      <c r="E1353" s="1"/>
      <c r="F1353" s="1"/>
    </row>
    <row r="1354" spans="1:6" ht="34.5" thickBot="1" x14ac:dyDescent="0.3">
      <c r="A1354" s="4" t="s">
        <v>19</v>
      </c>
      <c r="B1354" s="4" t="s">
        <v>20</v>
      </c>
      <c r="C1354" s="4" t="s">
        <v>21</v>
      </c>
      <c r="D1354" s="4" t="s">
        <v>22</v>
      </c>
      <c r="E1354" s="4" t="s">
        <v>23</v>
      </c>
      <c r="F1354" s="4" t="s">
        <v>24</v>
      </c>
    </row>
    <row r="1355" spans="1:6" ht="15.75" thickBot="1" x14ac:dyDescent="0.3">
      <c r="A1355" s="32" t="s">
        <v>377</v>
      </c>
      <c r="B1355" s="32" t="s">
        <v>378</v>
      </c>
      <c r="C1355" s="32" t="s">
        <v>129</v>
      </c>
      <c r="D1355" s="6" t="s">
        <v>28</v>
      </c>
      <c r="E1355" s="6" t="s">
        <v>262</v>
      </c>
      <c r="F1355" s="6"/>
    </row>
    <row r="1356" spans="1:6" ht="15.75" thickBot="1" x14ac:dyDescent="0.3">
      <c r="A1356" s="35" t="s">
        <v>31</v>
      </c>
      <c r="B1356" s="7" t="s">
        <v>32</v>
      </c>
      <c r="C1356" s="15">
        <v>45323</v>
      </c>
      <c r="D1356" s="35" t="s">
        <v>33</v>
      </c>
      <c r="E1356" s="7" t="s">
        <v>34</v>
      </c>
      <c r="F1356" s="6"/>
    </row>
    <row r="1357" spans="1:6" ht="15.75" thickBot="1" x14ac:dyDescent="0.3">
      <c r="A1357" s="36"/>
      <c r="B1357" s="7" t="s">
        <v>36</v>
      </c>
      <c r="C1357" s="5">
        <v>1</v>
      </c>
      <c r="D1357" s="36"/>
      <c r="E1357" s="7" t="s">
        <v>37</v>
      </c>
      <c r="F1357" s="6"/>
    </row>
    <row r="1358" spans="1:6" ht="15.75" thickBot="1" x14ac:dyDescent="0.3">
      <c r="A1358" s="36"/>
      <c r="B1358" s="7" t="s">
        <v>39</v>
      </c>
      <c r="C1358" s="15">
        <v>45381</v>
      </c>
      <c r="D1358" s="36"/>
      <c r="E1358" s="7" t="s">
        <v>40</v>
      </c>
      <c r="F1358" s="6"/>
    </row>
    <row r="1359" spans="1:6" ht="15.75" thickBot="1" x14ac:dyDescent="0.3">
      <c r="A1359" s="36"/>
      <c r="B1359" s="7" t="s">
        <v>36</v>
      </c>
      <c r="C1359" s="5">
        <v>1</v>
      </c>
      <c r="D1359" s="36"/>
      <c r="E1359" s="7" t="s">
        <v>41</v>
      </c>
      <c r="F1359" s="6"/>
    </row>
    <row r="1360" spans="1:6" ht="15.75" thickBot="1" x14ac:dyDescent="0.3">
      <c r="A1360" s="2"/>
      <c r="B1360" s="2"/>
      <c r="C1360" s="2"/>
      <c r="D1360" s="2"/>
      <c r="E1360" s="2"/>
      <c r="F1360" s="2"/>
    </row>
    <row r="1361" spans="1:6" ht="15.75" thickBot="1" x14ac:dyDescent="0.3">
      <c r="A1361" s="12" t="s">
        <v>42</v>
      </c>
      <c r="B1361" s="12" t="s">
        <v>43</v>
      </c>
      <c r="C1361" s="12" t="s">
        <v>44</v>
      </c>
      <c r="D1361" s="12" t="s">
        <v>45</v>
      </c>
      <c r="E1361" s="12" t="s">
        <v>46</v>
      </c>
      <c r="F1361" s="12" t="s">
        <v>47</v>
      </c>
    </row>
    <row r="1362" spans="1:6" ht="45" x14ac:dyDescent="0.25">
      <c r="A1362" s="8">
        <v>72101510</v>
      </c>
      <c r="B1362" s="9" t="s">
        <v>379</v>
      </c>
      <c r="C1362" s="8" t="s">
        <v>55</v>
      </c>
      <c r="D1362" s="8">
        <v>1</v>
      </c>
      <c r="E1362" s="11">
        <v>450000</v>
      </c>
      <c r="F1362" s="10">
        <v>450000</v>
      </c>
    </row>
    <row r="1363" spans="1:6" ht="56.25" x14ac:dyDescent="0.25">
      <c r="A1363" s="8">
        <v>72102201</v>
      </c>
      <c r="B1363" s="9" t="s">
        <v>380</v>
      </c>
      <c r="C1363" s="33" t="s">
        <v>55</v>
      </c>
      <c r="D1363" s="8">
        <v>1</v>
      </c>
      <c r="E1363" s="11">
        <v>550000</v>
      </c>
      <c r="F1363" s="10">
        <v>550000</v>
      </c>
    </row>
    <row r="1364" spans="1:6" x14ac:dyDescent="0.25">
      <c r="A1364" s="2"/>
      <c r="B1364" s="2"/>
      <c r="C1364" s="2"/>
      <c r="D1364" s="2"/>
      <c r="E1364" s="13" t="s">
        <v>87</v>
      </c>
      <c r="F1364" s="14">
        <v>1000000</v>
      </c>
    </row>
    <row r="1365" spans="1:6" ht="15.75" thickBot="1" x14ac:dyDescent="0.3">
      <c r="A1365" s="1"/>
      <c r="B1365" s="1"/>
      <c r="C1365" s="1"/>
      <c r="D1365" s="1"/>
      <c r="E1365" s="1"/>
      <c r="F1365" s="1"/>
    </row>
    <row r="1366" spans="1:6" ht="34.5" thickBot="1" x14ac:dyDescent="0.3">
      <c r="A1366" s="4" t="s">
        <v>19</v>
      </c>
      <c r="B1366" s="4" t="s">
        <v>20</v>
      </c>
      <c r="C1366" s="4" t="s">
        <v>21</v>
      </c>
      <c r="D1366" s="4" t="s">
        <v>22</v>
      </c>
      <c r="E1366" s="4" t="s">
        <v>23</v>
      </c>
      <c r="F1366" s="4" t="s">
        <v>24</v>
      </c>
    </row>
    <row r="1367" spans="1:6" ht="15.75" thickBot="1" x14ac:dyDescent="0.3">
      <c r="A1367" s="32" t="s">
        <v>381</v>
      </c>
      <c r="B1367" s="32" t="s">
        <v>382</v>
      </c>
      <c r="C1367" s="32" t="s">
        <v>27</v>
      </c>
      <c r="D1367" s="6" t="s">
        <v>28</v>
      </c>
      <c r="E1367" s="6" t="s">
        <v>262</v>
      </c>
      <c r="F1367" s="6"/>
    </row>
    <row r="1368" spans="1:6" ht="15.75" thickBot="1" x14ac:dyDescent="0.3">
      <c r="A1368" s="35" t="s">
        <v>31</v>
      </c>
      <c r="B1368" s="7" t="s">
        <v>32</v>
      </c>
      <c r="C1368" s="15">
        <v>45323</v>
      </c>
      <c r="D1368" s="35" t="s">
        <v>33</v>
      </c>
      <c r="E1368" s="7" t="s">
        <v>34</v>
      </c>
      <c r="F1368" s="6"/>
    </row>
    <row r="1369" spans="1:6" ht="15.75" thickBot="1" x14ac:dyDescent="0.3">
      <c r="A1369" s="36"/>
      <c r="B1369" s="7" t="s">
        <v>36</v>
      </c>
      <c r="C1369" s="5">
        <v>1</v>
      </c>
      <c r="D1369" s="36"/>
      <c r="E1369" s="7" t="s">
        <v>37</v>
      </c>
      <c r="F1369" s="6"/>
    </row>
    <row r="1370" spans="1:6" ht="15.75" thickBot="1" x14ac:dyDescent="0.3">
      <c r="A1370" s="36"/>
      <c r="B1370" s="7" t="s">
        <v>39</v>
      </c>
      <c r="C1370" s="15">
        <v>45381</v>
      </c>
      <c r="D1370" s="36"/>
      <c r="E1370" s="7" t="s">
        <v>40</v>
      </c>
      <c r="F1370" s="6"/>
    </row>
    <row r="1371" spans="1:6" ht="15.75" thickBot="1" x14ac:dyDescent="0.3">
      <c r="A1371" s="36"/>
      <c r="B1371" s="7" t="s">
        <v>36</v>
      </c>
      <c r="C1371" s="5">
        <v>1</v>
      </c>
      <c r="D1371" s="36"/>
      <c r="E1371" s="7" t="s">
        <v>41</v>
      </c>
      <c r="F1371" s="6"/>
    </row>
    <row r="1372" spans="1:6" ht="15.75" thickBot="1" x14ac:dyDescent="0.3">
      <c r="A1372" s="2"/>
      <c r="B1372" s="2"/>
      <c r="C1372" s="2"/>
      <c r="D1372" s="2"/>
      <c r="E1372" s="2"/>
      <c r="F1372" s="2"/>
    </row>
    <row r="1373" spans="1:6" ht="15.75" thickBot="1" x14ac:dyDescent="0.3">
      <c r="A1373" s="12" t="s">
        <v>42</v>
      </c>
      <c r="B1373" s="12" t="s">
        <v>43</v>
      </c>
      <c r="C1373" s="12" t="s">
        <v>44</v>
      </c>
      <c r="D1373" s="12" t="s">
        <v>45</v>
      </c>
      <c r="E1373" s="12" t="s">
        <v>46</v>
      </c>
      <c r="F1373" s="12" t="s">
        <v>47</v>
      </c>
    </row>
    <row r="1374" spans="1:6" x14ac:dyDescent="0.25">
      <c r="A1374" s="8">
        <v>53102516</v>
      </c>
      <c r="B1374" s="9" t="s">
        <v>153</v>
      </c>
      <c r="C1374" s="8" t="s">
        <v>55</v>
      </c>
      <c r="D1374" s="8">
        <v>5000</v>
      </c>
      <c r="E1374" s="11">
        <v>340</v>
      </c>
      <c r="F1374" s="10">
        <v>1700000</v>
      </c>
    </row>
    <row r="1375" spans="1:6" x14ac:dyDescent="0.25">
      <c r="A1375" s="2"/>
      <c r="B1375" s="2"/>
      <c r="C1375" s="2"/>
      <c r="D1375" s="2"/>
      <c r="E1375" s="13" t="s">
        <v>87</v>
      </c>
      <c r="F1375" s="14">
        <v>1700000</v>
      </c>
    </row>
    <row r="1376" spans="1:6" ht="15.75" thickBot="1" x14ac:dyDescent="0.3">
      <c r="A1376" s="1"/>
      <c r="B1376" s="1"/>
      <c r="C1376" s="1"/>
      <c r="D1376" s="1"/>
      <c r="E1376" s="1"/>
      <c r="F1376" s="1"/>
    </row>
    <row r="1377" spans="1:6" ht="34.5" thickBot="1" x14ac:dyDescent="0.3">
      <c r="A1377" s="4" t="s">
        <v>19</v>
      </c>
      <c r="B1377" s="4" t="s">
        <v>20</v>
      </c>
      <c r="C1377" s="4" t="s">
        <v>21</v>
      </c>
      <c r="D1377" s="4" t="s">
        <v>22</v>
      </c>
      <c r="E1377" s="4" t="s">
        <v>23</v>
      </c>
      <c r="F1377" s="4" t="s">
        <v>24</v>
      </c>
    </row>
    <row r="1378" spans="1:6" ht="15.75" thickBot="1" x14ac:dyDescent="0.3">
      <c r="A1378" s="32" t="s">
        <v>383</v>
      </c>
      <c r="B1378" s="32" t="s">
        <v>384</v>
      </c>
      <c r="C1378" s="32" t="s">
        <v>27</v>
      </c>
      <c r="D1378" s="6" t="s">
        <v>28</v>
      </c>
      <c r="E1378" s="6" t="s">
        <v>262</v>
      </c>
      <c r="F1378" s="6"/>
    </row>
    <row r="1379" spans="1:6" ht="15.75" thickBot="1" x14ac:dyDescent="0.3">
      <c r="A1379" s="35" t="s">
        <v>31</v>
      </c>
      <c r="B1379" s="7" t="s">
        <v>32</v>
      </c>
      <c r="C1379" s="15">
        <v>45323</v>
      </c>
      <c r="D1379" s="35" t="s">
        <v>33</v>
      </c>
      <c r="E1379" s="7" t="s">
        <v>34</v>
      </c>
      <c r="F1379" s="6"/>
    </row>
    <row r="1380" spans="1:6" ht="15.75" thickBot="1" x14ac:dyDescent="0.3">
      <c r="A1380" s="36"/>
      <c r="B1380" s="7" t="s">
        <v>36</v>
      </c>
      <c r="C1380" s="5">
        <v>1</v>
      </c>
      <c r="D1380" s="36"/>
      <c r="E1380" s="7" t="s">
        <v>37</v>
      </c>
      <c r="F1380" s="6"/>
    </row>
    <row r="1381" spans="1:6" ht="15.75" thickBot="1" x14ac:dyDescent="0.3">
      <c r="A1381" s="36"/>
      <c r="B1381" s="7" t="s">
        <v>39</v>
      </c>
      <c r="C1381" s="15">
        <v>45381</v>
      </c>
      <c r="D1381" s="36"/>
      <c r="E1381" s="7" t="s">
        <v>40</v>
      </c>
      <c r="F1381" s="6"/>
    </row>
    <row r="1382" spans="1:6" ht="15.75" thickBot="1" x14ac:dyDescent="0.3">
      <c r="A1382" s="36"/>
      <c r="B1382" s="7" t="s">
        <v>36</v>
      </c>
      <c r="C1382" s="5">
        <v>1</v>
      </c>
      <c r="D1382" s="36"/>
      <c r="E1382" s="7" t="s">
        <v>41</v>
      </c>
      <c r="F1382" s="6"/>
    </row>
    <row r="1383" spans="1:6" ht="15.75" thickBot="1" x14ac:dyDescent="0.3">
      <c r="A1383" s="2"/>
      <c r="B1383" s="2"/>
      <c r="C1383" s="2"/>
      <c r="D1383" s="2"/>
      <c r="E1383" s="2"/>
      <c r="F1383" s="2"/>
    </row>
    <row r="1384" spans="1:6" ht="15.75" thickBot="1" x14ac:dyDescent="0.3">
      <c r="A1384" s="12" t="s">
        <v>42</v>
      </c>
      <c r="B1384" s="12" t="s">
        <v>43</v>
      </c>
      <c r="C1384" s="12" t="s">
        <v>44</v>
      </c>
      <c r="D1384" s="12" t="s">
        <v>45</v>
      </c>
      <c r="E1384" s="12" t="s">
        <v>46</v>
      </c>
      <c r="F1384" s="12" t="s">
        <v>47</v>
      </c>
    </row>
    <row r="1385" spans="1:6" ht="22.5" x14ac:dyDescent="0.25">
      <c r="A1385" s="8">
        <v>53103001</v>
      </c>
      <c r="B1385" s="9" t="s">
        <v>152</v>
      </c>
      <c r="C1385" s="33" t="s">
        <v>55</v>
      </c>
      <c r="D1385" s="8">
        <v>5000</v>
      </c>
      <c r="E1385" s="11">
        <v>340</v>
      </c>
      <c r="F1385" s="10">
        <v>1700000</v>
      </c>
    </row>
    <row r="1386" spans="1:6" x14ac:dyDescent="0.25">
      <c r="A1386" s="2"/>
      <c r="B1386" s="2"/>
      <c r="C1386" s="2"/>
      <c r="D1386" s="2"/>
      <c r="E1386" s="13" t="s">
        <v>87</v>
      </c>
      <c r="F1386" s="14">
        <v>1700000</v>
      </c>
    </row>
    <row r="1387" spans="1:6" ht="15.75" thickBot="1" x14ac:dyDescent="0.3">
      <c r="A1387" s="1"/>
      <c r="B1387" s="1"/>
      <c r="C1387" s="1"/>
      <c r="D1387" s="1"/>
      <c r="E1387" s="1"/>
      <c r="F1387" s="1"/>
    </row>
    <row r="1388" spans="1:6" ht="34.5" thickBot="1" x14ac:dyDescent="0.3">
      <c r="A1388" s="4" t="s">
        <v>19</v>
      </c>
      <c r="B1388" s="4" t="s">
        <v>20</v>
      </c>
      <c r="C1388" s="4" t="s">
        <v>21</v>
      </c>
      <c r="D1388" s="4" t="s">
        <v>22</v>
      </c>
      <c r="E1388" s="4" t="s">
        <v>23</v>
      </c>
      <c r="F1388" s="4" t="s">
        <v>24</v>
      </c>
    </row>
    <row r="1389" spans="1:6" ht="15.75" thickBot="1" x14ac:dyDescent="0.3">
      <c r="A1389" s="32" t="s">
        <v>385</v>
      </c>
      <c r="B1389" s="32" t="s">
        <v>386</v>
      </c>
      <c r="C1389" s="32" t="s">
        <v>27</v>
      </c>
      <c r="D1389" s="6" t="s">
        <v>28</v>
      </c>
      <c r="E1389" s="6" t="s">
        <v>262</v>
      </c>
      <c r="F1389" s="6"/>
    </row>
    <row r="1390" spans="1:6" ht="15.75" thickBot="1" x14ac:dyDescent="0.3">
      <c r="A1390" s="35" t="s">
        <v>31</v>
      </c>
      <c r="B1390" s="7" t="s">
        <v>32</v>
      </c>
      <c r="C1390" s="15">
        <v>45323</v>
      </c>
      <c r="D1390" s="35" t="s">
        <v>33</v>
      </c>
      <c r="E1390" s="7" t="s">
        <v>34</v>
      </c>
      <c r="F1390" s="6"/>
    </row>
    <row r="1391" spans="1:6" ht="15.75" thickBot="1" x14ac:dyDescent="0.3">
      <c r="A1391" s="36"/>
      <c r="B1391" s="7" t="s">
        <v>36</v>
      </c>
      <c r="C1391" s="5">
        <v>1</v>
      </c>
      <c r="D1391" s="36"/>
      <c r="E1391" s="7" t="s">
        <v>37</v>
      </c>
      <c r="F1391" s="6"/>
    </row>
    <row r="1392" spans="1:6" ht="15.75" thickBot="1" x14ac:dyDescent="0.3">
      <c r="A1392" s="36"/>
      <c r="B1392" s="7" t="s">
        <v>39</v>
      </c>
      <c r="C1392" s="15">
        <v>45381</v>
      </c>
      <c r="D1392" s="36"/>
      <c r="E1392" s="7" t="s">
        <v>40</v>
      </c>
      <c r="F1392" s="6"/>
    </row>
    <row r="1393" spans="1:6" ht="15.75" thickBot="1" x14ac:dyDescent="0.3">
      <c r="A1393" s="36"/>
      <c r="B1393" s="7" t="s">
        <v>36</v>
      </c>
      <c r="C1393" s="5">
        <v>1</v>
      </c>
      <c r="D1393" s="36"/>
      <c r="E1393" s="7" t="s">
        <v>41</v>
      </c>
      <c r="F1393" s="6"/>
    </row>
    <row r="1394" spans="1:6" ht="15.75" thickBot="1" x14ac:dyDescent="0.3">
      <c r="A1394" s="2"/>
      <c r="B1394" s="2"/>
      <c r="C1394" s="2"/>
      <c r="D1394" s="2"/>
      <c r="E1394" s="2"/>
      <c r="F1394" s="2"/>
    </row>
    <row r="1395" spans="1:6" ht="15.75" thickBot="1" x14ac:dyDescent="0.3">
      <c r="A1395" s="12" t="s">
        <v>42</v>
      </c>
      <c r="B1395" s="12" t="s">
        <v>43</v>
      </c>
      <c r="C1395" s="12" t="s">
        <v>44</v>
      </c>
      <c r="D1395" s="12" t="s">
        <v>45</v>
      </c>
      <c r="E1395" s="12" t="s">
        <v>46</v>
      </c>
      <c r="F1395" s="12" t="s">
        <v>47</v>
      </c>
    </row>
    <row r="1396" spans="1:6" x14ac:dyDescent="0.25">
      <c r="A1396" s="8">
        <v>53102516</v>
      </c>
      <c r="B1396" s="9" t="s">
        <v>153</v>
      </c>
      <c r="C1396" s="8" t="s">
        <v>55</v>
      </c>
      <c r="D1396" s="8">
        <v>5000</v>
      </c>
      <c r="E1396" s="11">
        <v>340</v>
      </c>
      <c r="F1396" s="10">
        <v>1700000</v>
      </c>
    </row>
    <row r="1397" spans="1:6" x14ac:dyDescent="0.25">
      <c r="A1397" s="2"/>
      <c r="B1397" s="2"/>
      <c r="C1397" s="2"/>
      <c r="D1397" s="2"/>
      <c r="E1397" s="13" t="s">
        <v>87</v>
      </c>
      <c r="F1397" s="14">
        <v>1700000</v>
      </c>
    </row>
    <row r="1398" spans="1:6" ht="15.75" thickBot="1" x14ac:dyDescent="0.3">
      <c r="A1398" s="1"/>
      <c r="B1398" s="1"/>
      <c r="C1398" s="1"/>
      <c r="D1398" s="1"/>
      <c r="E1398" s="1"/>
      <c r="F1398" s="1"/>
    </row>
    <row r="1399" spans="1:6" ht="34.5" thickBot="1" x14ac:dyDescent="0.3">
      <c r="A1399" s="4" t="s">
        <v>19</v>
      </c>
      <c r="B1399" s="4" t="s">
        <v>20</v>
      </c>
      <c r="C1399" s="4" t="s">
        <v>21</v>
      </c>
      <c r="D1399" s="4" t="s">
        <v>22</v>
      </c>
      <c r="E1399" s="4" t="s">
        <v>23</v>
      </c>
      <c r="F1399" s="4" t="s">
        <v>24</v>
      </c>
    </row>
    <row r="1400" spans="1:6" ht="15.75" thickBot="1" x14ac:dyDescent="0.3">
      <c r="A1400" s="32" t="s">
        <v>387</v>
      </c>
      <c r="B1400" s="32" t="s">
        <v>388</v>
      </c>
      <c r="C1400" s="32" t="s">
        <v>27</v>
      </c>
      <c r="D1400" s="6" t="s">
        <v>28</v>
      </c>
      <c r="E1400" s="6" t="s">
        <v>262</v>
      </c>
      <c r="F1400" s="6"/>
    </row>
    <row r="1401" spans="1:6" ht="15.75" thickBot="1" x14ac:dyDescent="0.3">
      <c r="A1401" s="35" t="s">
        <v>31</v>
      </c>
      <c r="B1401" s="7" t="s">
        <v>32</v>
      </c>
      <c r="C1401" s="15">
        <v>45323</v>
      </c>
      <c r="D1401" s="35" t="s">
        <v>33</v>
      </c>
      <c r="E1401" s="7" t="s">
        <v>34</v>
      </c>
      <c r="F1401" s="6"/>
    </row>
    <row r="1402" spans="1:6" ht="15.75" thickBot="1" x14ac:dyDescent="0.3">
      <c r="A1402" s="36"/>
      <c r="B1402" s="7" t="s">
        <v>36</v>
      </c>
      <c r="C1402" s="5">
        <v>1</v>
      </c>
      <c r="D1402" s="36"/>
      <c r="E1402" s="7" t="s">
        <v>37</v>
      </c>
      <c r="F1402" s="6"/>
    </row>
    <row r="1403" spans="1:6" ht="15.75" thickBot="1" x14ac:dyDescent="0.3">
      <c r="A1403" s="36"/>
      <c r="B1403" s="7" t="s">
        <v>39</v>
      </c>
      <c r="C1403" s="15">
        <v>45381</v>
      </c>
      <c r="D1403" s="36"/>
      <c r="E1403" s="7" t="s">
        <v>40</v>
      </c>
      <c r="F1403" s="6"/>
    </row>
    <row r="1404" spans="1:6" ht="15.75" thickBot="1" x14ac:dyDescent="0.3">
      <c r="A1404" s="36"/>
      <c r="B1404" s="7" t="s">
        <v>36</v>
      </c>
      <c r="C1404" s="5">
        <v>1</v>
      </c>
      <c r="D1404" s="36"/>
      <c r="E1404" s="7" t="s">
        <v>41</v>
      </c>
      <c r="F1404" s="6"/>
    </row>
    <row r="1405" spans="1:6" ht="15.75" thickBot="1" x14ac:dyDescent="0.3">
      <c r="A1405" s="2"/>
      <c r="B1405" s="2"/>
      <c r="C1405" s="2"/>
      <c r="D1405" s="2"/>
      <c r="E1405" s="2"/>
      <c r="F1405" s="2"/>
    </row>
    <row r="1406" spans="1:6" ht="15.75" thickBot="1" x14ac:dyDescent="0.3">
      <c r="A1406" s="12" t="s">
        <v>42</v>
      </c>
      <c r="B1406" s="12" t="s">
        <v>43</v>
      </c>
      <c r="C1406" s="12" t="s">
        <v>44</v>
      </c>
      <c r="D1406" s="12" t="s">
        <v>45</v>
      </c>
      <c r="E1406" s="12" t="s">
        <v>46</v>
      </c>
      <c r="F1406" s="12" t="s">
        <v>47</v>
      </c>
    </row>
    <row r="1407" spans="1:6" ht="22.5" x14ac:dyDescent="0.25">
      <c r="A1407" s="8">
        <v>53103001</v>
      </c>
      <c r="B1407" s="9" t="s">
        <v>152</v>
      </c>
      <c r="C1407" s="33" t="s">
        <v>55</v>
      </c>
      <c r="D1407" s="8">
        <v>5000</v>
      </c>
      <c r="E1407" s="11">
        <v>340</v>
      </c>
      <c r="F1407" s="10">
        <v>1700000</v>
      </c>
    </row>
    <row r="1408" spans="1:6" x14ac:dyDescent="0.25">
      <c r="A1408" s="2"/>
      <c r="B1408" s="2"/>
      <c r="C1408" s="2"/>
      <c r="D1408" s="2"/>
      <c r="E1408" s="13" t="s">
        <v>87</v>
      </c>
      <c r="F1408" s="14">
        <v>1700000</v>
      </c>
    </row>
    <row r="1409" spans="1:6" ht="15.75" thickBot="1" x14ac:dyDescent="0.3">
      <c r="A1409" s="1"/>
      <c r="B1409" s="1"/>
      <c r="C1409" s="1"/>
      <c r="D1409" s="1"/>
      <c r="E1409" s="1"/>
      <c r="F1409" s="1"/>
    </row>
    <row r="1410" spans="1:6" ht="34.5" thickBot="1" x14ac:dyDescent="0.3">
      <c r="A1410" s="4" t="s">
        <v>19</v>
      </c>
      <c r="B1410" s="4" t="s">
        <v>20</v>
      </c>
      <c r="C1410" s="4" t="s">
        <v>21</v>
      </c>
      <c r="D1410" s="4" t="s">
        <v>22</v>
      </c>
      <c r="E1410" s="4" t="s">
        <v>23</v>
      </c>
      <c r="F1410" s="4" t="s">
        <v>24</v>
      </c>
    </row>
    <row r="1411" spans="1:6" ht="15.75" thickBot="1" x14ac:dyDescent="0.3">
      <c r="A1411" s="32" t="s">
        <v>389</v>
      </c>
      <c r="B1411" s="32" t="s">
        <v>390</v>
      </c>
      <c r="C1411" s="32" t="s">
        <v>27</v>
      </c>
      <c r="D1411" s="6" t="s">
        <v>28</v>
      </c>
      <c r="E1411" s="6" t="s">
        <v>262</v>
      </c>
      <c r="F1411" s="6"/>
    </row>
    <row r="1412" spans="1:6" ht="15.75" thickBot="1" x14ac:dyDescent="0.3">
      <c r="A1412" s="35" t="s">
        <v>31</v>
      </c>
      <c r="B1412" s="7" t="s">
        <v>32</v>
      </c>
      <c r="C1412" s="15">
        <v>45323</v>
      </c>
      <c r="D1412" s="35" t="s">
        <v>33</v>
      </c>
      <c r="E1412" s="7" t="s">
        <v>34</v>
      </c>
      <c r="F1412" s="6"/>
    </row>
    <row r="1413" spans="1:6" ht="15.75" thickBot="1" x14ac:dyDescent="0.3">
      <c r="A1413" s="36"/>
      <c r="B1413" s="7" t="s">
        <v>36</v>
      </c>
      <c r="C1413" s="5">
        <v>1</v>
      </c>
      <c r="D1413" s="36"/>
      <c r="E1413" s="7" t="s">
        <v>37</v>
      </c>
      <c r="F1413" s="6"/>
    </row>
    <row r="1414" spans="1:6" ht="15.75" thickBot="1" x14ac:dyDescent="0.3">
      <c r="A1414" s="36"/>
      <c r="B1414" s="7" t="s">
        <v>39</v>
      </c>
      <c r="C1414" s="15">
        <v>45381</v>
      </c>
      <c r="D1414" s="36"/>
      <c r="E1414" s="7" t="s">
        <v>40</v>
      </c>
      <c r="F1414" s="6"/>
    </row>
    <row r="1415" spans="1:6" ht="15.75" thickBot="1" x14ac:dyDescent="0.3">
      <c r="A1415" s="36"/>
      <c r="B1415" s="7" t="s">
        <v>36</v>
      </c>
      <c r="C1415" s="5">
        <v>1</v>
      </c>
      <c r="D1415" s="36"/>
      <c r="E1415" s="7" t="s">
        <v>41</v>
      </c>
      <c r="F1415" s="6"/>
    </row>
    <row r="1416" spans="1:6" ht="15.75" thickBot="1" x14ac:dyDescent="0.3">
      <c r="A1416" s="2"/>
      <c r="B1416" s="2"/>
      <c r="C1416" s="2"/>
      <c r="D1416" s="2"/>
      <c r="E1416" s="2"/>
      <c r="F1416" s="2"/>
    </row>
    <row r="1417" spans="1:6" ht="15.75" thickBot="1" x14ac:dyDescent="0.3">
      <c r="A1417" s="12" t="s">
        <v>42</v>
      </c>
      <c r="B1417" s="12" t="s">
        <v>43</v>
      </c>
      <c r="C1417" s="12" t="s">
        <v>44</v>
      </c>
      <c r="D1417" s="12" t="s">
        <v>45</v>
      </c>
      <c r="E1417" s="12" t="s">
        <v>46</v>
      </c>
      <c r="F1417" s="12" t="s">
        <v>47</v>
      </c>
    </row>
    <row r="1418" spans="1:6" ht="22.5" x14ac:dyDescent="0.25">
      <c r="A1418" s="8">
        <v>53121608</v>
      </c>
      <c r="B1418" s="9" t="s">
        <v>391</v>
      </c>
      <c r="C1418" s="33" t="s">
        <v>55</v>
      </c>
      <c r="D1418" s="8">
        <v>5000</v>
      </c>
      <c r="E1418" s="11">
        <v>340</v>
      </c>
      <c r="F1418" s="10">
        <v>1700000</v>
      </c>
    </row>
    <row r="1419" spans="1:6" x14ac:dyDescent="0.25">
      <c r="A1419" s="2"/>
      <c r="B1419" s="2"/>
      <c r="C1419" s="2"/>
      <c r="D1419" s="2"/>
      <c r="E1419" s="13" t="s">
        <v>87</v>
      </c>
      <c r="F1419" s="14">
        <v>1700000</v>
      </c>
    </row>
    <row r="1420" spans="1:6" ht="15.75" thickBot="1" x14ac:dyDescent="0.3">
      <c r="A1420" s="1"/>
      <c r="B1420" s="1"/>
      <c r="C1420" s="1"/>
      <c r="D1420" s="1"/>
      <c r="E1420" s="1"/>
      <c r="F1420" s="1"/>
    </row>
    <row r="1421" spans="1:6" ht="34.5" thickBot="1" x14ac:dyDescent="0.3">
      <c r="A1421" s="4" t="s">
        <v>19</v>
      </c>
      <c r="B1421" s="4" t="s">
        <v>20</v>
      </c>
      <c r="C1421" s="4" t="s">
        <v>21</v>
      </c>
      <c r="D1421" s="4" t="s">
        <v>22</v>
      </c>
      <c r="E1421" s="4" t="s">
        <v>23</v>
      </c>
      <c r="F1421" s="4" t="s">
        <v>24</v>
      </c>
    </row>
    <row r="1422" spans="1:6" ht="15.75" thickBot="1" x14ac:dyDescent="0.3">
      <c r="A1422" s="32" t="s">
        <v>256</v>
      </c>
      <c r="B1422" s="32" t="s">
        <v>392</v>
      </c>
      <c r="C1422" s="32" t="s">
        <v>129</v>
      </c>
      <c r="D1422" s="6" t="s">
        <v>130</v>
      </c>
      <c r="E1422" s="32" t="s">
        <v>29</v>
      </c>
      <c r="F1422" s="6"/>
    </row>
    <row r="1423" spans="1:6" ht="15.75" thickBot="1" x14ac:dyDescent="0.3">
      <c r="A1423" s="35" t="s">
        <v>31</v>
      </c>
      <c r="B1423" s="7" t="s">
        <v>32</v>
      </c>
      <c r="C1423" s="15">
        <v>45323</v>
      </c>
      <c r="D1423" s="35" t="s">
        <v>33</v>
      </c>
      <c r="E1423" s="7" t="s">
        <v>34</v>
      </c>
      <c r="F1423" s="6"/>
    </row>
    <row r="1424" spans="1:6" ht="15.75" thickBot="1" x14ac:dyDescent="0.3">
      <c r="A1424" s="36"/>
      <c r="B1424" s="7" t="s">
        <v>36</v>
      </c>
      <c r="C1424" s="5">
        <v>1</v>
      </c>
      <c r="D1424" s="36"/>
      <c r="E1424" s="7" t="s">
        <v>37</v>
      </c>
      <c r="F1424" s="6"/>
    </row>
    <row r="1425" spans="1:6" ht="15.75" thickBot="1" x14ac:dyDescent="0.3">
      <c r="A1425" s="36"/>
      <c r="B1425" s="7" t="s">
        <v>39</v>
      </c>
      <c r="C1425" s="15">
        <v>45381</v>
      </c>
      <c r="D1425" s="36"/>
      <c r="E1425" s="7" t="s">
        <v>40</v>
      </c>
      <c r="F1425" s="6"/>
    </row>
    <row r="1426" spans="1:6" ht="15.75" thickBot="1" x14ac:dyDescent="0.3">
      <c r="A1426" s="36"/>
      <c r="B1426" s="7" t="s">
        <v>36</v>
      </c>
      <c r="C1426" s="5">
        <v>1</v>
      </c>
      <c r="D1426" s="36"/>
      <c r="E1426" s="7" t="s">
        <v>41</v>
      </c>
      <c r="F1426" s="6"/>
    </row>
    <row r="1427" spans="1:6" ht="15.75" thickBot="1" x14ac:dyDescent="0.3">
      <c r="A1427" s="2"/>
      <c r="B1427" s="2"/>
      <c r="C1427" s="2"/>
      <c r="D1427" s="2"/>
      <c r="E1427" s="2"/>
      <c r="F1427" s="2"/>
    </row>
    <row r="1428" spans="1:6" ht="15.75" thickBot="1" x14ac:dyDescent="0.3">
      <c r="A1428" s="12" t="s">
        <v>42</v>
      </c>
      <c r="B1428" s="12" t="s">
        <v>43</v>
      </c>
      <c r="C1428" s="12" t="s">
        <v>44</v>
      </c>
      <c r="D1428" s="12" t="s">
        <v>45</v>
      </c>
      <c r="E1428" s="12" t="s">
        <v>46</v>
      </c>
      <c r="F1428" s="12" t="s">
        <v>47</v>
      </c>
    </row>
    <row r="1429" spans="1:6" ht="22.5" x14ac:dyDescent="0.25">
      <c r="A1429" s="8">
        <v>82101602</v>
      </c>
      <c r="B1429" s="9" t="s">
        <v>259</v>
      </c>
      <c r="C1429" s="8" t="s">
        <v>55</v>
      </c>
      <c r="D1429" s="8">
        <v>1</v>
      </c>
      <c r="E1429" s="11">
        <v>20000000</v>
      </c>
      <c r="F1429" s="10">
        <v>20000000</v>
      </c>
    </row>
    <row r="1430" spans="1:6" ht="22.5" x14ac:dyDescent="0.25">
      <c r="A1430" s="8">
        <v>82101601</v>
      </c>
      <c r="B1430" s="9" t="s">
        <v>258</v>
      </c>
      <c r="C1430" s="33" t="s">
        <v>55</v>
      </c>
      <c r="D1430" s="8">
        <v>1</v>
      </c>
      <c r="E1430" s="11">
        <v>20000000</v>
      </c>
      <c r="F1430" s="10">
        <v>20000000</v>
      </c>
    </row>
    <row r="1431" spans="1:6" ht="22.5" x14ac:dyDescent="0.25">
      <c r="A1431" s="8">
        <v>82101603</v>
      </c>
      <c r="B1431" s="9" t="s">
        <v>131</v>
      </c>
      <c r="C1431" s="33" t="s">
        <v>55</v>
      </c>
      <c r="D1431" s="8">
        <v>1</v>
      </c>
      <c r="E1431" s="11">
        <v>10000000</v>
      </c>
      <c r="F1431" s="10">
        <v>10000000</v>
      </c>
    </row>
    <row r="1432" spans="1:6" x14ac:dyDescent="0.25">
      <c r="A1432" s="2"/>
      <c r="B1432" s="2"/>
      <c r="C1432" s="2"/>
      <c r="D1432" s="2"/>
      <c r="E1432" s="13" t="s">
        <v>87</v>
      </c>
      <c r="F1432" s="14">
        <v>50000000</v>
      </c>
    </row>
    <row r="1433" spans="1:6" ht="15.75" thickBot="1" x14ac:dyDescent="0.3">
      <c r="A1433" s="1"/>
      <c r="B1433" s="1"/>
      <c r="C1433" s="1"/>
      <c r="D1433" s="1"/>
      <c r="E1433" s="1"/>
      <c r="F1433" s="1"/>
    </row>
    <row r="1434" spans="1:6" ht="34.5" thickBot="1" x14ac:dyDescent="0.3">
      <c r="A1434" s="4" t="s">
        <v>19</v>
      </c>
      <c r="B1434" s="4" t="s">
        <v>20</v>
      </c>
      <c r="C1434" s="4" t="s">
        <v>21</v>
      </c>
      <c r="D1434" s="4" t="s">
        <v>22</v>
      </c>
      <c r="E1434" s="4" t="s">
        <v>23</v>
      </c>
      <c r="F1434" s="4" t="s">
        <v>24</v>
      </c>
    </row>
    <row r="1435" spans="1:6" ht="15.75" thickBot="1" x14ac:dyDescent="0.3">
      <c r="A1435" s="32" t="s">
        <v>393</v>
      </c>
      <c r="B1435" s="32" t="s">
        <v>394</v>
      </c>
      <c r="C1435" s="32" t="s">
        <v>27</v>
      </c>
      <c r="D1435" s="6" t="s">
        <v>28</v>
      </c>
      <c r="E1435" s="6" t="s">
        <v>262</v>
      </c>
      <c r="F1435" s="6"/>
    </row>
    <row r="1436" spans="1:6" ht="15.75" thickBot="1" x14ac:dyDescent="0.3">
      <c r="A1436" s="35" t="s">
        <v>31</v>
      </c>
      <c r="B1436" s="7" t="s">
        <v>32</v>
      </c>
      <c r="C1436" s="15">
        <v>45323</v>
      </c>
      <c r="D1436" s="35" t="s">
        <v>33</v>
      </c>
      <c r="E1436" s="7" t="s">
        <v>34</v>
      </c>
      <c r="F1436" s="6"/>
    </row>
    <row r="1437" spans="1:6" ht="15.75" thickBot="1" x14ac:dyDescent="0.3">
      <c r="A1437" s="36"/>
      <c r="B1437" s="7" t="s">
        <v>36</v>
      </c>
      <c r="C1437" s="5">
        <v>1</v>
      </c>
      <c r="D1437" s="36"/>
      <c r="E1437" s="7" t="s">
        <v>37</v>
      </c>
      <c r="F1437" s="6"/>
    </row>
    <row r="1438" spans="1:6" ht="15.75" thickBot="1" x14ac:dyDescent="0.3">
      <c r="A1438" s="36"/>
      <c r="B1438" s="7" t="s">
        <v>39</v>
      </c>
      <c r="C1438" s="15">
        <v>45381</v>
      </c>
      <c r="D1438" s="36"/>
      <c r="E1438" s="7" t="s">
        <v>40</v>
      </c>
      <c r="F1438" s="6"/>
    </row>
    <row r="1439" spans="1:6" ht="15.75" thickBot="1" x14ac:dyDescent="0.3">
      <c r="A1439" s="36"/>
      <c r="B1439" s="7" t="s">
        <v>36</v>
      </c>
      <c r="C1439" s="5">
        <v>1</v>
      </c>
      <c r="D1439" s="36"/>
      <c r="E1439" s="7" t="s">
        <v>41</v>
      </c>
      <c r="F1439" s="6"/>
    </row>
    <row r="1440" spans="1:6" ht="15.75" thickBot="1" x14ac:dyDescent="0.3">
      <c r="A1440" s="2"/>
      <c r="B1440" s="2"/>
      <c r="C1440" s="2"/>
      <c r="D1440" s="2"/>
      <c r="E1440" s="2"/>
      <c r="F1440" s="2"/>
    </row>
    <row r="1441" spans="1:6" ht="15.75" thickBot="1" x14ac:dyDescent="0.3">
      <c r="A1441" s="12" t="s">
        <v>42</v>
      </c>
      <c r="B1441" s="12" t="s">
        <v>43</v>
      </c>
      <c r="C1441" s="12" t="s">
        <v>44</v>
      </c>
      <c r="D1441" s="12" t="s">
        <v>45</v>
      </c>
      <c r="E1441" s="12" t="s">
        <v>46</v>
      </c>
      <c r="F1441" s="12" t="s">
        <v>47</v>
      </c>
    </row>
    <row r="1442" spans="1:6" x14ac:dyDescent="0.25">
      <c r="A1442" s="8">
        <v>46181701</v>
      </c>
      <c r="B1442" s="9" t="s">
        <v>395</v>
      </c>
      <c r="C1442" s="33" t="s">
        <v>55</v>
      </c>
      <c r="D1442" s="8">
        <v>900</v>
      </c>
      <c r="E1442" s="11">
        <v>1500</v>
      </c>
      <c r="F1442" s="10">
        <v>1350000</v>
      </c>
    </row>
    <row r="1443" spans="1:6" x14ac:dyDescent="0.25">
      <c r="A1443" s="2"/>
      <c r="B1443" s="2"/>
      <c r="C1443" s="2"/>
      <c r="D1443" s="2"/>
      <c r="E1443" s="13" t="s">
        <v>87</v>
      </c>
      <c r="F1443" s="14">
        <v>1350000</v>
      </c>
    </row>
    <row r="1444" spans="1:6" ht="15.75" thickBot="1" x14ac:dyDescent="0.3">
      <c r="A1444" s="1"/>
      <c r="B1444" s="1"/>
      <c r="C1444" s="1"/>
      <c r="D1444" s="1"/>
      <c r="E1444" s="1"/>
      <c r="F1444" s="1"/>
    </row>
    <row r="1445" spans="1:6" ht="34.5" thickBot="1" x14ac:dyDescent="0.3">
      <c r="A1445" s="4" t="s">
        <v>19</v>
      </c>
      <c r="B1445" s="4" t="s">
        <v>20</v>
      </c>
      <c r="C1445" s="4" t="s">
        <v>21</v>
      </c>
      <c r="D1445" s="4" t="s">
        <v>22</v>
      </c>
      <c r="E1445" s="4" t="s">
        <v>23</v>
      </c>
      <c r="F1445" s="4" t="s">
        <v>24</v>
      </c>
    </row>
    <row r="1446" spans="1:6" ht="15.75" thickBot="1" x14ac:dyDescent="0.3">
      <c r="A1446" s="32" t="s">
        <v>396</v>
      </c>
      <c r="B1446" s="32" t="s">
        <v>397</v>
      </c>
      <c r="C1446" s="32" t="s">
        <v>27</v>
      </c>
      <c r="D1446" s="6" t="s">
        <v>28</v>
      </c>
      <c r="E1446" s="6" t="s">
        <v>262</v>
      </c>
      <c r="F1446" s="6"/>
    </row>
    <row r="1447" spans="1:6" ht="15.75" thickBot="1" x14ac:dyDescent="0.3">
      <c r="A1447" s="35" t="s">
        <v>31</v>
      </c>
      <c r="B1447" s="7" t="s">
        <v>32</v>
      </c>
      <c r="C1447" s="15">
        <v>45323</v>
      </c>
      <c r="D1447" s="35" t="s">
        <v>33</v>
      </c>
      <c r="E1447" s="7" t="s">
        <v>34</v>
      </c>
      <c r="F1447" s="6"/>
    </row>
    <row r="1448" spans="1:6" ht="15.75" thickBot="1" x14ac:dyDescent="0.3">
      <c r="A1448" s="36"/>
      <c r="B1448" s="7" t="s">
        <v>36</v>
      </c>
      <c r="C1448" s="5">
        <v>1</v>
      </c>
      <c r="D1448" s="36"/>
      <c r="E1448" s="7" t="s">
        <v>37</v>
      </c>
      <c r="F1448" s="6"/>
    </row>
    <row r="1449" spans="1:6" ht="15.75" thickBot="1" x14ac:dyDescent="0.3">
      <c r="A1449" s="36"/>
      <c r="B1449" s="7" t="s">
        <v>39</v>
      </c>
      <c r="C1449" s="15">
        <v>45381</v>
      </c>
      <c r="D1449" s="36"/>
      <c r="E1449" s="7" t="s">
        <v>40</v>
      </c>
      <c r="F1449" s="6"/>
    </row>
    <row r="1450" spans="1:6" ht="15.75" thickBot="1" x14ac:dyDescent="0.3">
      <c r="A1450" s="36"/>
      <c r="B1450" s="7" t="s">
        <v>36</v>
      </c>
      <c r="C1450" s="5">
        <v>1</v>
      </c>
      <c r="D1450" s="36"/>
      <c r="E1450" s="7" t="s">
        <v>41</v>
      </c>
      <c r="F1450" s="6"/>
    </row>
    <row r="1451" spans="1:6" ht="15.75" thickBot="1" x14ac:dyDescent="0.3">
      <c r="A1451" s="2"/>
      <c r="B1451" s="2"/>
      <c r="C1451" s="2"/>
      <c r="D1451" s="2"/>
      <c r="E1451" s="2"/>
      <c r="F1451" s="2"/>
    </row>
    <row r="1452" spans="1:6" ht="15.75" thickBot="1" x14ac:dyDescent="0.3">
      <c r="A1452" s="12" t="s">
        <v>42</v>
      </c>
      <c r="B1452" s="12" t="s">
        <v>43</v>
      </c>
      <c r="C1452" s="12" t="s">
        <v>44</v>
      </c>
      <c r="D1452" s="12" t="s">
        <v>45</v>
      </c>
      <c r="E1452" s="12" t="s">
        <v>46</v>
      </c>
      <c r="F1452" s="12" t="s">
        <v>47</v>
      </c>
    </row>
    <row r="1453" spans="1:6" ht="22.5" x14ac:dyDescent="0.25">
      <c r="A1453" s="8">
        <v>46181507</v>
      </c>
      <c r="B1453" s="9" t="s">
        <v>398</v>
      </c>
      <c r="C1453" s="33" t="s">
        <v>55</v>
      </c>
      <c r="D1453" s="8">
        <v>5000</v>
      </c>
      <c r="E1453" s="11">
        <v>340</v>
      </c>
      <c r="F1453" s="10">
        <v>1700000</v>
      </c>
    </row>
    <row r="1454" spans="1:6" x14ac:dyDescent="0.25">
      <c r="A1454" s="2"/>
      <c r="B1454" s="2"/>
      <c r="C1454" s="2"/>
      <c r="D1454" s="2"/>
      <c r="E1454" s="13" t="s">
        <v>87</v>
      </c>
      <c r="F1454" s="14">
        <v>1700000</v>
      </c>
    </row>
    <row r="1455" spans="1:6" ht="15.75" thickBot="1" x14ac:dyDescent="0.3">
      <c r="A1455" s="1"/>
      <c r="B1455" s="1"/>
      <c r="C1455" s="1"/>
      <c r="D1455" s="1"/>
      <c r="E1455" s="1"/>
      <c r="F1455" s="1"/>
    </row>
    <row r="1456" spans="1:6" ht="34.5" thickBot="1" x14ac:dyDescent="0.3">
      <c r="A1456" s="4" t="s">
        <v>19</v>
      </c>
      <c r="B1456" s="4" t="s">
        <v>20</v>
      </c>
      <c r="C1456" s="4" t="s">
        <v>21</v>
      </c>
      <c r="D1456" s="4" t="s">
        <v>22</v>
      </c>
      <c r="E1456" s="4" t="s">
        <v>23</v>
      </c>
      <c r="F1456" s="4" t="s">
        <v>24</v>
      </c>
    </row>
    <row r="1457" spans="1:6" ht="15.75" thickBot="1" x14ac:dyDescent="0.3">
      <c r="A1457" s="32" t="s">
        <v>399</v>
      </c>
      <c r="B1457" s="32" t="s">
        <v>400</v>
      </c>
      <c r="C1457" s="32" t="s">
        <v>27</v>
      </c>
      <c r="D1457" s="6" t="s">
        <v>28</v>
      </c>
      <c r="E1457" s="6" t="s">
        <v>262</v>
      </c>
      <c r="F1457" s="6"/>
    </row>
    <row r="1458" spans="1:6" ht="15.75" thickBot="1" x14ac:dyDescent="0.3">
      <c r="A1458" s="35" t="s">
        <v>31</v>
      </c>
      <c r="B1458" s="7" t="s">
        <v>32</v>
      </c>
      <c r="C1458" s="15">
        <v>45323</v>
      </c>
      <c r="D1458" s="35" t="s">
        <v>33</v>
      </c>
      <c r="E1458" s="7" t="s">
        <v>34</v>
      </c>
      <c r="F1458" s="6"/>
    </row>
    <row r="1459" spans="1:6" ht="15.75" thickBot="1" x14ac:dyDescent="0.3">
      <c r="A1459" s="36"/>
      <c r="B1459" s="7" t="s">
        <v>36</v>
      </c>
      <c r="C1459" s="5">
        <v>1</v>
      </c>
      <c r="D1459" s="36"/>
      <c r="E1459" s="7" t="s">
        <v>37</v>
      </c>
      <c r="F1459" s="6"/>
    </row>
    <row r="1460" spans="1:6" ht="15.75" thickBot="1" x14ac:dyDescent="0.3">
      <c r="A1460" s="36"/>
      <c r="B1460" s="7" t="s">
        <v>39</v>
      </c>
      <c r="C1460" s="15">
        <v>45381</v>
      </c>
      <c r="D1460" s="36"/>
      <c r="E1460" s="7" t="s">
        <v>40</v>
      </c>
      <c r="F1460" s="6"/>
    </row>
    <row r="1461" spans="1:6" ht="15.75" thickBot="1" x14ac:dyDescent="0.3">
      <c r="A1461" s="36"/>
      <c r="B1461" s="7" t="s">
        <v>36</v>
      </c>
      <c r="C1461" s="5">
        <v>1</v>
      </c>
      <c r="D1461" s="36"/>
      <c r="E1461" s="7" t="s">
        <v>41</v>
      </c>
      <c r="F1461" s="6"/>
    </row>
    <row r="1462" spans="1:6" ht="15.75" thickBot="1" x14ac:dyDescent="0.3">
      <c r="A1462" s="2"/>
      <c r="B1462" s="2"/>
      <c r="C1462" s="2"/>
      <c r="D1462" s="2"/>
      <c r="E1462" s="2"/>
      <c r="F1462" s="2"/>
    </row>
    <row r="1463" spans="1:6" ht="15.75" thickBot="1" x14ac:dyDescent="0.3">
      <c r="A1463" s="12" t="s">
        <v>42</v>
      </c>
      <c r="B1463" s="12" t="s">
        <v>43</v>
      </c>
      <c r="C1463" s="12" t="s">
        <v>44</v>
      </c>
      <c r="D1463" s="12" t="s">
        <v>45</v>
      </c>
      <c r="E1463" s="12" t="s">
        <v>46</v>
      </c>
      <c r="F1463" s="12" t="s">
        <v>47</v>
      </c>
    </row>
    <row r="1464" spans="1:6" x14ac:dyDescent="0.25">
      <c r="A1464" s="8">
        <v>46181701</v>
      </c>
      <c r="B1464" s="9" t="s">
        <v>395</v>
      </c>
      <c r="C1464" s="8" t="s">
        <v>55</v>
      </c>
      <c r="D1464" s="8">
        <v>900</v>
      </c>
      <c r="E1464" s="11">
        <v>1500</v>
      </c>
      <c r="F1464" s="10">
        <v>1350000</v>
      </c>
    </row>
    <row r="1465" spans="1:6" x14ac:dyDescent="0.25">
      <c r="A1465" s="2"/>
      <c r="B1465" s="2"/>
      <c r="C1465" s="2"/>
      <c r="D1465" s="2"/>
      <c r="E1465" s="13" t="s">
        <v>87</v>
      </c>
      <c r="F1465" s="14">
        <v>1350000</v>
      </c>
    </row>
    <row r="1466" spans="1:6" ht="15.75" thickBot="1" x14ac:dyDescent="0.3">
      <c r="A1466" s="1"/>
      <c r="B1466" s="1"/>
      <c r="C1466" s="1"/>
      <c r="D1466" s="1"/>
      <c r="E1466" s="1"/>
      <c r="F1466" s="1"/>
    </row>
    <row r="1467" spans="1:6" ht="34.5" thickBot="1" x14ac:dyDescent="0.3">
      <c r="A1467" s="4" t="s">
        <v>19</v>
      </c>
      <c r="B1467" s="4" t="s">
        <v>20</v>
      </c>
      <c r="C1467" s="4" t="s">
        <v>21</v>
      </c>
      <c r="D1467" s="4" t="s">
        <v>22</v>
      </c>
      <c r="E1467" s="4" t="s">
        <v>23</v>
      </c>
      <c r="F1467" s="4" t="s">
        <v>24</v>
      </c>
    </row>
    <row r="1468" spans="1:6" ht="15.75" thickBot="1" x14ac:dyDescent="0.3">
      <c r="A1468" s="32" t="s">
        <v>401</v>
      </c>
      <c r="B1468" s="32" t="s">
        <v>402</v>
      </c>
      <c r="C1468" s="32" t="s">
        <v>27</v>
      </c>
      <c r="D1468" s="6" t="s">
        <v>188</v>
      </c>
      <c r="E1468" s="6" t="s">
        <v>262</v>
      </c>
      <c r="F1468" s="6"/>
    </row>
    <row r="1469" spans="1:6" ht="15.75" thickBot="1" x14ac:dyDescent="0.3">
      <c r="A1469" s="35" t="s">
        <v>31</v>
      </c>
      <c r="B1469" s="7" t="s">
        <v>32</v>
      </c>
      <c r="C1469" s="15">
        <v>45323</v>
      </c>
      <c r="D1469" s="35" t="s">
        <v>33</v>
      </c>
      <c r="E1469" s="7" t="s">
        <v>34</v>
      </c>
      <c r="F1469" s="6"/>
    </row>
    <row r="1470" spans="1:6" ht="15.75" thickBot="1" x14ac:dyDescent="0.3">
      <c r="A1470" s="36"/>
      <c r="B1470" s="7" t="s">
        <v>36</v>
      </c>
      <c r="C1470" s="5">
        <v>1</v>
      </c>
      <c r="D1470" s="36"/>
      <c r="E1470" s="7" t="s">
        <v>37</v>
      </c>
      <c r="F1470" s="6"/>
    </row>
    <row r="1471" spans="1:6" ht="15.75" thickBot="1" x14ac:dyDescent="0.3">
      <c r="A1471" s="36"/>
      <c r="B1471" s="7" t="s">
        <v>39</v>
      </c>
      <c r="C1471" s="15">
        <v>45381</v>
      </c>
      <c r="D1471" s="36"/>
      <c r="E1471" s="7" t="s">
        <v>40</v>
      </c>
      <c r="F1471" s="6"/>
    </row>
    <row r="1472" spans="1:6" ht="15.75" thickBot="1" x14ac:dyDescent="0.3">
      <c r="A1472" s="36"/>
      <c r="B1472" s="7" t="s">
        <v>36</v>
      </c>
      <c r="C1472" s="5">
        <v>1</v>
      </c>
      <c r="D1472" s="36"/>
      <c r="E1472" s="7" t="s">
        <v>41</v>
      </c>
      <c r="F1472" s="6"/>
    </row>
    <row r="1473" spans="1:6" ht="15.75" thickBot="1" x14ac:dyDescent="0.3">
      <c r="A1473" s="2"/>
      <c r="B1473" s="2"/>
      <c r="C1473" s="2"/>
      <c r="D1473" s="2"/>
      <c r="E1473" s="2"/>
      <c r="F1473" s="2"/>
    </row>
    <row r="1474" spans="1:6" ht="15.75" thickBot="1" x14ac:dyDescent="0.3">
      <c r="A1474" s="12" t="s">
        <v>42</v>
      </c>
      <c r="B1474" s="12" t="s">
        <v>43</v>
      </c>
      <c r="C1474" s="12" t="s">
        <v>44</v>
      </c>
      <c r="D1474" s="12" t="s">
        <v>45</v>
      </c>
      <c r="E1474" s="12" t="s">
        <v>46</v>
      </c>
      <c r="F1474" s="12" t="s">
        <v>47</v>
      </c>
    </row>
    <row r="1475" spans="1:6" x14ac:dyDescent="0.25">
      <c r="A1475" s="8">
        <v>14111704</v>
      </c>
      <c r="B1475" s="9" t="s">
        <v>112</v>
      </c>
      <c r="C1475" s="8" t="s">
        <v>55</v>
      </c>
      <c r="D1475" s="8">
        <v>100</v>
      </c>
      <c r="E1475" s="11">
        <v>870</v>
      </c>
      <c r="F1475" s="10">
        <v>87000</v>
      </c>
    </row>
    <row r="1476" spans="1:6" ht="22.5" x14ac:dyDescent="0.25">
      <c r="A1476" s="8">
        <v>14111703</v>
      </c>
      <c r="B1476" s="9" t="s">
        <v>105</v>
      </c>
      <c r="C1476" s="33" t="s">
        <v>55</v>
      </c>
      <c r="D1476" s="8">
        <v>30</v>
      </c>
      <c r="E1476" s="11">
        <v>895.66</v>
      </c>
      <c r="F1476" s="10">
        <v>26869.8</v>
      </c>
    </row>
    <row r="1477" spans="1:6" ht="56.25" x14ac:dyDescent="0.25">
      <c r="A1477" s="8">
        <v>52151504</v>
      </c>
      <c r="B1477" s="9" t="s">
        <v>197</v>
      </c>
      <c r="C1477" s="8" t="s">
        <v>74</v>
      </c>
      <c r="D1477" s="8">
        <v>100</v>
      </c>
      <c r="E1477" s="11">
        <v>195.82</v>
      </c>
      <c r="F1477" s="10">
        <v>19582</v>
      </c>
    </row>
    <row r="1478" spans="1:6" ht="56.25" x14ac:dyDescent="0.25">
      <c r="A1478" s="8">
        <v>52151504</v>
      </c>
      <c r="B1478" s="9" t="s">
        <v>197</v>
      </c>
      <c r="C1478" s="33" t="s">
        <v>74</v>
      </c>
      <c r="D1478" s="8">
        <v>150</v>
      </c>
      <c r="E1478" s="11">
        <v>114</v>
      </c>
      <c r="F1478" s="10">
        <v>17100</v>
      </c>
    </row>
    <row r="1479" spans="1:6" x14ac:dyDescent="0.25">
      <c r="A1479" s="2"/>
      <c r="B1479" s="2"/>
      <c r="C1479" s="2"/>
      <c r="D1479" s="2"/>
      <c r="E1479" s="13" t="s">
        <v>87</v>
      </c>
      <c r="F1479" s="14">
        <v>150551.79999999999</v>
      </c>
    </row>
    <row r="1480" spans="1:6" ht="15.75" thickBot="1" x14ac:dyDescent="0.3">
      <c r="A1480" s="1"/>
      <c r="B1480" s="1"/>
      <c r="C1480" s="1"/>
      <c r="D1480" s="1"/>
      <c r="E1480" s="1"/>
      <c r="F1480" s="1"/>
    </row>
    <row r="1481" spans="1:6" ht="34.5" thickBot="1" x14ac:dyDescent="0.3">
      <c r="A1481" s="4" t="s">
        <v>19</v>
      </c>
      <c r="B1481" s="4" t="s">
        <v>20</v>
      </c>
      <c r="C1481" s="4" t="s">
        <v>21</v>
      </c>
      <c r="D1481" s="4" t="s">
        <v>22</v>
      </c>
      <c r="E1481" s="4" t="s">
        <v>23</v>
      </c>
      <c r="F1481" s="4" t="s">
        <v>24</v>
      </c>
    </row>
    <row r="1482" spans="1:6" ht="15.75" thickBot="1" x14ac:dyDescent="0.3">
      <c r="A1482" s="32" t="s">
        <v>403</v>
      </c>
      <c r="B1482" s="32" t="s">
        <v>404</v>
      </c>
      <c r="C1482" s="6" t="s">
        <v>27</v>
      </c>
      <c r="D1482" s="6" t="s">
        <v>188</v>
      </c>
      <c r="E1482" s="6" t="s">
        <v>262</v>
      </c>
      <c r="F1482" s="6"/>
    </row>
    <row r="1483" spans="1:6" ht="15.75" thickBot="1" x14ac:dyDescent="0.3">
      <c r="A1483" s="35" t="s">
        <v>31</v>
      </c>
      <c r="B1483" s="7" t="s">
        <v>32</v>
      </c>
      <c r="C1483" s="15">
        <v>45323</v>
      </c>
      <c r="D1483" s="35" t="s">
        <v>33</v>
      </c>
      <c r="E1483" s="7" t="s">
        <v>34</v>
      </c>
      <c r="F1483" s="6"/>
    </row>
    <row r="1484" spans="1:6" ht="15.75" thickBot="1" x14ac:dyDescent="0.3">
      <c r="A1484" s="36"/>
      <c r="B1484" s="7" t="s">
        <v>36</v>
      </c>
      <c r="C1484" s="5">
        <v>1</v>
      </c>
      <c r="D1484" s="36"/>
      <c r="E1484" s="7" t="s">
        <v>37</v>
      </c>
      <c r="F1484" s="6"/>
    </row>
    <row r="1485" spans="1:6" ht="15.75" thickBot="1" x14ac:dyDescent="0.3">
      <c r="A1485" s="36"/>
      <c r="B1485" s="7" t="s">
        <v>39</v>
      </c>
      <c r="C1485" s="15">
        <v>45381</v>
      </c>
      <c r="D1485" s="36"/>
      <c r="E1485" s="7" t="s">
        <v>40</v>
      </c>
      <c r="F1485" s="6"/>
    </row>
    <row r="1486" spans="1:6" ht="15.75" thickBot="1" x14ac:dyDescent="0.3">
      <c r="A1486" s="36"/>
      <c r="B1486" s="7" t="s">
        <v>36</v>
      </c>
      <c r="C1486" s="5">
        <v>1</v>
      </c>
      <c r="D1486" s="36"/>
      <c r="E1486" s="7" t="s">
        <v>41</v>
      </c>
      <c r="F1486" s="6"/>
    </row>
    <row r="1487" spans="1:6" ht="15.75" thickBot="1" x14ac:dyDescent="0.3">
      <c r="A1487" s="2"/>
      <c r="B1487" s="2"/>
      <c r="C1487" s="2"/>
      <c r="D1487" s="2"/>
      <c r="E1487" s="2"/>
      <c r="F1487" s="2"/>
    </row>
    <row r="1488" spans="1:6" ht="15.75" thickBot="1" x14ac:dyDescent="0.3">
      <c r="A1488" s="12" t="s">
        <v>42</v>
      </c>
      <c r="B1488" s="12" t="s">
        <v>43</v>
      </c>
      <c r="C1488" s="12" t="s">
        <v>44</v>
      </c>
      <c r="D1488" s="12" t="s">
        <v>45</v>
      </c>
      <c r="E1488" s="12" t="s">
        <v>46</v>
      </c>
      <c r="F1488" s="12" t="s">
        <v>47</v>
      </c>
    </row>
    <row r="1489" spans="1:6" ht="22.5" x14ac:dyDescent="0.25">
      <c r="A1489" s="8">
        <v>31211505</v>
      </c>
      <c r="B1489" s="9" t="s">
        <v>405</v>
      </c>
      <c r="C1489" s="33" t="s">
        <v>55</v>
      </c>
      <c r="D1489" s="8">
        <v>20</v>
      </c>
      <c r="E1489" s="11">
        <v>1552</v>
      </c>
      <c r="F1489" s="10">
        <v>31040</v>
      </c>
    </row>
    <row r="1490" spans="1:6" x14ac:dyDescent="0.25">
      <c r="A1490" s="2"/>
      <c r="B1490" s="2"/>
      <c r="C1490" s="2"/>
      <c r="D1490" s="2"/>
      <c r="E1490" s="13" t="s">
        <v>87</v>
      </c>
      <c r="F1490" s="14">
        <v>31040</v>
      </c>
    </row>
    <row r="1491" spans="1:6" ht="15.75" thickBot="1" x14ac:dyDescent="0.3">
      <c r="A1491" s="1"/>
      <c r="B1491" s="1"/>
      <c r="C1491" s="1"/>
      <c r="D1491" s="1"/>
      <c r="E1491" s="1"/>
      <c r="F1491" s="1"/>
    </row>
    <row r="1492" spans="1:6" ht="34.5" thickBot="1" x14ac:dyDescent="0.3">
      <c r="A1492" s="4" t="s">
        <v>19</v>
      </c>
      <c r="B1492" s="4" t="s">
        <v>20</v>
      </c>
      <c r="C1492" s="4" t="s">
        <v>21</v>
      </c>
      <c r="D1492" s="4" t="s">
        <v>22</v>
      </c>
      <c r="E1492" s="4" t="s">
        <v>23</v>
      </c>
      <c r="F1492" s="4" t="s">
        <v>24</v>
      </c>
    </row>
    <row r="1493" spans="1:6" ht="15.75" thickBot="1" x14ac:dyDescent="0.3">
      <c r="A1493" s="32" t="s">
        <v>406</v>
      </c>
      <c r="B1493" s="32" t="s">
        <v>407</v>
      </c>
      <c r="C1493" s="32" t="s">
        <v>27</v>
      </c>
      <c r="D1493" s="6" t="s">
        <v>188</v>
      </c>
      <c r="E1493" s="6" t="s">
        <v>262</v>
      </c>
      <c r="F1493" s="6"/>
    </row>
    <row r="1494" spans="1:6" ht="15.75" thickBot="1" x14ac:dyDescent="0.3">
      <c r="A1494" s="35" t="s">
        <v>31</v>
      </c>
      <c r="B1494" s="7" t="s">
        <v>32</v>
      </c>
      <c r="C1494" s="15">
        <v>45323</v>
      </c>
      <c r="D1494" s="35" t="s">
        <v>33</v>
      </c>
      <c r="E1494" s="7" t="s">
        <v>34</v>
      </c>
      <c r="F1494" s="6"/>
    </row>
    <row r="1495" spans="1:6" ht="15.75" thickBot="1" x14ac:dyDescent="0.3">
      <c r="A1495" s="36"/>
      <c r="B1495" s="7" t="s">
        <v>36</v>
      </c>
      <c r="C1495" s="5">
        <v>1</v>
      </c>
      <c r="D1495" s="36"/>
      <c r="E1495" s="7" t="s">
        <v>37</v>
      </c>
      <c r="F1495" s="6"/>
    </row>
    <row r="1496" spans="1:6" ht="15.75" thickBot="1" x14ac:dyDescent="0.3">
      <c r="A1496" s="36"/>
      <c r="B1496" s="7" t="s">
        <v>39</v>
      </c>
      <c r="C1496" s="15">
        <v>45381</v>
      </c>
      <c r="D1496" s="36"/>
      <c r="E1496" s="7" t="s">
        <v>40</v>
      </c>
      <c r="F1496" s="6"/>
    </row>
    <row r="1497" spans="1:6" ht="15.75" thickBot="1" x14ac:dyDescent="0.3">
      <c r="A1497" s="36"/>
      <c r="B1497" s="7" t="s">
        <v>36</v>
      </c>
      <c r="C1497" s="5">
        <v>1</v>
      </c>
      <c r="D1497" s="36"/>
      <c r="E1497" s="7" t="s">
        <v>41</v>
      </c>
      <c r="F1497" s="6"/>
    </row>
    <row r="1498" spans="1:6" ht="15.75" thickBot="1" x14ac:dyDescent="0.3">
      <c r="A1498" s="2"/>
      <c r="B1498" s="2"/>
      <c r="C1498" s="2"/>
      <c r="D1498" s="2"/>
      <c r="E1498" s="2"/>
      <c r="F1498" s="2"/>
    </row>
    <row r="1499" spans="1:6" ht="15.75" thickBot="1" x14ac:dyDescent="0.3">
      <c r="A1499" s="12" t="s">
        <v>42</v>
      </c>
      <c r="B1499" s="12" t="s">
        <v>43</v>
      </c>
      <c r="C1499" s="12" t="s">
        <v>44</v>
      </c>
      <c r="D1499" s="12" t="s">
        <v>45</v>
      </c>
      <c r="E1499" s="12" t="s">
        <v>46</v>
      </c>
      <c r="F1499" s="12" t="s">
        <v>47</v>
      </c>
    </row>
    <row r="1500" spans="1:6" ht="33.75" x14ac:dyDescent="0.25">
      <c r="A1500" s="8">
        <v>46161508</v>
      </c>
      <c r="B1500" s="9" t="s">
        <v>408</v>
      </c>
      <c r="C1500" s="33" t="s">
        <v>55</v>
      </c>
      <c r="D1500" s="8">
        <v>50</v>
      </c>
      <c r="E1500" s="11">
        <v>913</v>
      </c>
      <c r="F1500" s="10">
        <v>45650</v>
      </c>
    </row>
    <row r="1501" spans="1:6" x14ac:dyDescent="0.25">
      <c r="A1501" s="2"/>
      <c r="B1501" s="2"/>
      <c r="C1501" s="2"/>
      <c r="D1501" s="2"/>
      <c r="E1501" s="13" t="s">
        <v>87</v>
      </c>
      <c r="F1501" s="14">
        <v>45650</v>
      </c>
    </row>
    <row r="1502" spans="1:6" ht="15.75" thickBot="1" x14ac:dyDescent="0.3">
      <c r="A1502" s="1"/>
      <c r="B1502" s="1"/>
      <c r="C1502" s="1"/>
      <c r="D1502" s="1"/>
      <c r="E1502" s="1"/>
      <c r="F1502" s="1"/>
    </row>
    <row r="1503" spans="1:6" ht="34.5" thickBot="1" x14ac:dyDescent="0.3">
      <c r="A1503" s="4" t="s">
        <v>19</v>
      </c>
      <c r="B1503" s="4" t="s">
        <v>20</v>
      </c>
      <c r="C1503" s="4" t="s">
        <v>21</v>
      </c>
      <c r="D1503" s="4" t="s">
        <v>22</v>
      </c>
      <c r="E1503" s="4" t="s">
        <v>23</v>
      </c>
      <c r="F1503" s="4" t="s">
        <v>24</v>
      </c>
    </row>
    <row r="1504" spans="1:6" ht="15.75" thickBot="1" x14ac:dyDescent="0.3">
      <c r="A1504" s="32" t="s">
        <v>409</v>
      </c>
      <c r="B1504" s="32" t="s">
        <v>410</v>
      </c>
      <c r="C1504" s="32" t="s">
        <v>129</v>
      </c>
      <c r="D1504" s="6" t="s">
        <v>28</v>
      </c>
      <c r="E1504" s="32" t="s">
        <v>29</v>
      </c>
      <c r="F1504" s="6"/>
    </row>
    <row r="1505" spans="1:6" ht="15.75" thickBot="1" x14ac:dyDescent="0.3">
      <c r="A1505" s="35" t="s">
        <v>31</v>
      </c>
      <c r="B1505" s="7" t="s">
        <v>32</v>
      </c>
      <c r="C1505" s="15">
        <v>45323</v>
      </c>
      <c r="D1505" s="35" t="s">
        <v>33</v>
      </c>
      <c r="E1505" s="7" t="s">
        <v>34</v>
      </c>
      <c r="F1505" s="6"/>
    </row>
    <row r="1506" spans="1:6" ht="15.75" thickBot="1" x14ac:dyDescent="0.3">
      <c r="A1506" s="36"/>
      <c r="B1506" s="7" t="s">
        <v>36</v>
      </c>
      <c r="C1506" s="5">
        <v>1</v>
      </c>
      <c r="D1506" s="36"/>
      <c r="E1506" s="7" t="s">
        <v>37</v>
      </c>
      <c r="F1506" s="6"/>
    </row>
    <row r="1507" spans="1:6" ht="15.75" thickBot="1" x14ac:dyDescent="0.3">
      <c r="A1507" s="36"/>
      <c r="B1507" s="7" t="s">
        <v>39</v>
      </c>
      <c r="C1507" s="15">
        <v>45381</v>
      </c>
      <c r="D1507" s="36"/>
      <c r="E1507" s="7" t="s">
        <v>40</v>
      </c>
      <c r="F1507" s="6"/>
    </row>
    <row r="1508" spans="1:6" ht="15.75" thickBot="1" x14ac:dyDescent="0.3">
      <c r="A1508" s="36"/>
      <c r="B1508" s="7" t="s">
        <v>36</v>
      </c>
      <c r="C1508" s="5">
        <v>1</v>
      </c>
      <c r="D1508" s="36"/>
      <c r="E1508" s="7" t="s">
        <v>41</v>
      </c>
      <c r="F1508" s="6"/>
    </row>
    <row r="1509" spans="1:6" ht="15.75" thickBot="1" x14ac:dyDescent="0.3">
      <c r="A1509" s="2"/>
      <c r="B1509" s="2"/>
      <c r="C1509" s="2"/>
      <c r="D1509" s="2"/>
      <c r="E1509" s="2"/>
      <c r="F1509" s="2"/>
    </row>
    <row r="1510" spans="1:6" ht="15.75" thickBot="1" x14ac:dyDescent="0.3">
      <c r="A1510" s="12" t="s">
        <v>42</v>
      </c>
      <c r="B1510" s="12" t="s">
        <v>43</v>
      </c>
      <c r="C1510" s="12" t="s">
        <v>44</v>
      </c>
      <c r="D1510" s="12" t="s">
        <v>45</v>
      </c>
      <c r="E1510" s="12" t="s">
        <v>46</v>
      </c>
      <c r="F1510" s="12" t="s">
        <v>47</v>
      </c>
    </row>
    <row r="1511" spans="1:6" ht="33.75" x14ac:dyDescent="0.25">
      <c r="A1511" s="8">
        <v>72102103</v>
      </c>
      <c r="B1511" s="9" t="s">
        <v>181</v>
      </c>
      <c r="C1511" s="33" t="s">
        <v>55</v>
      </c>
      <c r="D1511" s="8">
        <v>1</v>
      </c>
      <c r="E1511" s="11">
        <v>1700000</v>
      </c>
      <c r="F1511" s="10">
        <v>1700000</v>
      </c>
    </row>
    <row r="1512" spans="1:6" x14ac:dyDescent="0.25">
      <c r="A1512" s="2"/>
      <c r="B1512" s="2"/>
      <c r="C1512" s="2"/>
      <c r="D1512" s="2"/>
      <c r="E1512" s="13" t="s">
        <v>87</v>
      </c>
      <c r="F1512" s="14">
        <v>1700000</v>
      </c>
    </row>
    <row r="1513" spans="1:6" ht="15.75" thickBot="1" x14ac:dyDescent="0.3">
      <c r="A1513" s="1"/>
      <c r="B1513" s="1"/>
      <c r="C1513" s="1"/>
      <c r="D1513" s="1"/>
      <c r="E1513" s="1"/>
      <c r="F1513" s="1"/>
    </row>
    <row r="1514" spans="1:6" ht="34.5" thickBot="1" x14ac:dyDescent="0.3">
      <c r="A1514" s="4" t="s">
        <v>19</v>
      </c>
      <c r="B1514" s="4" t="s">
        <v>20</v>
      </c>
      <c r="C1514" s="4" t="s">
        <v>21</v>
      </c>
      <c r="D1514" s="4" t="s">
        <v>22</v>
      </c>
      <c r="E1514" s="4" t="s">
        <v>23</v>
      </c>
      <c r="F1514" s="4" t="s">
        <v>24</v>
      </c>
    </row>
    <row r="1515" spans="1:6" ht="15.75" thickBot="1" x14ac:dyDescent="0.3">
      <c r="A1515" s="32" t="s">
        <v>325</v>
      </c>
      <c r="B1515" s="32" t="s">
        <v>411</v>
      </c>
      <c r="C1515" s="32" t="s">
        <v>27</v>
      </c>
      <c r="D1515" s="6" t="s">
        <v>28</v>
      </c>
      <c r="E1515" s="6" t="s">
        <v>262</v>
      </c>
      <c r="F1515" s="6"/>
    </row>
    <row r="1516" spans="1:6" ht="15.75" thickBot="1" x14ac:dyDescent="0.3">
      <c r="A1516" s="35" t="s">
        <v>31</v>
      </c>
      <c r="B1516" s="7" t="s">
        <v>32</v>
      </c>
      <c r="C1516" s="15">
        <v>45323</v>
      </c>
      <c r="D1516" s="35" t="s">
        <v>33</v>
      </c>
      <c r="E1516" s="7" t="s">
        <v>34</v>
      </c>
      <c r="F1516" s="6"/>
    </row>
    <row r="1517" spans="1:6" ht="15.75" thickBot="1" x14ac:dyDescent="0.3">
      <c r="A1517" s="36"/>
      <c r="B1517" s="7" t="s">
        <v>36</v>
      </c>
      <c r="C1517" s="5">
        <v>1</v>
      </c>
      <c r="D1517" s="36"/>
      <c r="E1517" s="7" t="s">
        <v>37</v>
      </c>
      <c r="F1517" s="6"/>
    </row>
    <row r="1518" spans="1:6" ht="15.75" thickBot="1" x14ac:dyDescent="0.3">
      <c r="A1518" s="36"/>
      <c r="B1518" s="7" t="s">
        <v>39</v>
      </c>
      <c r="C1518" s="15">
        <v>45381</v>
      </c>
      <c r="D1518" s="36"/>
      <c r="E1518" s="7" t="s">
        <v>40</v>
      </c>
      <c r="F1518" s="6"/>
    </row>
    <row r="1519" spans="1:6" ht="15.75" thickBot="1" x14ac:dyDescent="0.3">
      <c r="A1519" s="36"/>
      <c r="B1519" s="7" t="s">
        <v>36</v>
      </c>
      <c r="C1519" s="5">
        <v>1</v>
      </c>
      <c r="D1519" s="36"/>
      <c r="E1519" s="7" t="s">
        <v>41</v>
      </c>
      <c r="F1519" s="6"/>
    </row>
    <row r="1520" spans="1:6" ht="15.75" thickBot="1" x14ac:dyDescent="0.3">
      <c r="A1520" s="2"/>
      <c r="B1520" s="2"/>
      <c r="C1520" s="2"/>
      <c r="D1520" s="2"/>
      <c r="E1520" s="2"/>
      <c r="F1520" s="2"/>
    </row>
    <row r="1521" spans="1:6" ht="15.75" thickBot="1" x14ac:dyDescent="0.3">
      <c r="A1521" s="12" t="s">
        <v>42</v>
      </c>
      <c r="B1521" s="12" t="s">
        <v>43</v>
      </c>
      <c r="C1521" s="12" t="s">
        <v>44</v>
      </c>
      <c r="D1521" s="12" t="s">
        <v>45</v>
      </c>
      <c r="E1521" s="12" t="s">
        <v>46</v>
      </c>
      <c r="F1521" s="12" t="s">
        <v>47</v>
      </c>
    </row>
    <row r="1522" spans="1:6" ht="33.75" x14ac:dyDescent="0.25">
      <c r="A1522" s="8">
        <v>47131803</v>
      </c>
      <c r="B1522" s="9" t="s">
        <v>100</v>
      </c>
      <c r="C1522" s="8" t="s">
        <v>92</v>
      </c>
      <c r="D1522" s="8">
        <v>85</v>
      </c>
      <c r="E1522" s="11">
        <v>241.9</v>
      </c>
      <c r="F1522" s="10">
        <v>20561.5</v>
      </c>
    </row>
    <row r="1523" spans="1:6" x14ac:dyDescent="0.25">
      <c r="A1523" s="8">
        <v>47131807</v>
      </c>
      <c r="B1523" s="9" t="s">
        <v>327</v>
      </c>
      <c r="C1523" s="33" t="s">
        <v>55</v>
      </c>
      <c r="D1523" s="8">
        <v>24</v>
      </c>
      <c r="E1523" s="11">
        <v>14160</v>
      </c>
      <c r="F1523" s="10">
        <v>339840</v>
      </c>
    </row>
    <row r="1524" spans="1:6" x14ac:dyDescent="0.25">
      <c r="A1524" s="8">
        <v>47131807</v>
      </c>
      <c r="B1524" s="9" t="s">
        <v>327</v>
      </c>
      <c r="C1524" s="8" t="s">
        <v>92</v>
      </c>
      <c r="D1524" s="8">
        <v>24</v>
      </c>
      <c r="E1524" s="11">
        <v>12980</v>
      </c>
      <c r="F1524" s="10">
        <v>311520</v>
      </c>
    </row>
    <row r="1525" spans="1:6" x14ac:dyDescent="0.25">
      <c r="A1525" s="8">
        <v>47101608</v>
      </c>
      <c r="B1525" s="9" t="s">
        <v>412</v>
      </c>
      <c r="C1525" s="33" t="s">
        <v>55</v>
      </c>
      <c r="D1525" s="8">
        <v>30</v>
      </c>
      <c r="E1525" s="11">
        <v>542.79999999999995</v>
      </c>
      <c r="F1525" s="10">
        <v>16283.999999999998</v>
      </c>
    </row>
    <row r="1526" spans="1:6" x14ac:dyDescent="0.25">
      <c r="A1526" s="8">
        <v>47131807</v>
      </c>
      <c r="B1526" s="9" t="s">
        <v>327</v>
      </c>
      <c r="C1526" s="33" t="s">
        <v>55</v>
      </c>
      <c r="D1526" s="8">
        <v>8</v>
      </c>
      <c r="E1526" s="11">
        <v>8142</v>
      </c>
      <c r="F1526" s="10">
        <v>65136</v>
      </c>
    </row>
    <row r="1527" spans="1:6" x14ac:dyDescent="0.25">
      <c r="A1527" s="8">
        <v>47101601</v>
      </c>
      <c r="B1527" s="9" t="s">
        <v>413</v>
      </c>
      <c r="C1527" s="33" t="s">
        <v>55</v>
      </c>
      <c r="D1527" s="8">
        <v>20</v>
      </c>
      <c r="E1527" s="11">
        <v>2124</v>
      </c>
      <c r="F1527" s="10">
        <v>42480</v>
      </c>
    </row>
    <row r="1528" spans="1:6" x14ac:dyDescent="0.25">
      <c r="A1528" s="8">
        <v>47131807</v>
      </c>
      <c r="B1528" s="9" t="s">
        <v>327</v>
      </c>
      <c r="C1528" s="8" t="s">
        <v>92</v>
      </c>
      <c r="D1528" s="8">
        <v>35</v>
      </c>
      <c r="E1528" s="11">
        <v>1652</v>
      </c>
      <c r="F1528" s="10">
        <v>57820</v>
      </c>
    </row>
    <row r="1529" spans="1:6" ht="33.75" x14ac:dyDescent="0.25">
      <c r="A1529" s="8">
        <v>40142501</v>
      </c>
      <c r="B1529" s="9" t="s">
        <v>414</v>
      </c>
      <c r="C1529" s="33" t="s">
        <v>55</v>
      </c>
      <c r="D1529" s="8">
        <v>2</v>
      </c>
      <c r="E1529" s="11">
        <v>1416</v>
      </c>
      <c r="F1529" s="10">
        <v>2832</v>
      </c>
    </row>
    <row r="1530" spans="1:6" ht="22.5" x14ac:dyDescent="0.25">
      <c r="A1530" s="8">
        <v>24101511</v>
      </c>
      <c r="B1530" s="9" t="s">
        <v>415</v>
      </c>
      <c r="C1530" s="33" t="s">
        <v>55</v>
      </c>
      <c r="D1530" s="8">
        <v>2</v>
      </c>
      <c r="E1530" s="11">
        <v>23128</v>
      </c>
      <c r="F1530" s="10">
        <v>46256</v>
      </c>
    </row>
    <row r="1531" spans="1:6" ht="22.5" x14ac:dyDescent="0.25">
      <c r="A1531" s="8">
        <v>27112813</v>
      </c>
      <c r="B1531" s="9" t="s">
        <v>416</v>
      </c>
      <c r="C1531" s="33" t="s">
        <v>55</v>
      </c>
      <c r="D1531" s="8">
        <v>2</v>
      </c>
      <c r="E1531" s="11">
        <v>10127.6</v>
      </c>
      <c r="F1531" s="10">
        <v>20255.2</v>
      </c>
    </row>
    <row r="1532" spans="1:6" ht="45" x14ac:dyDescent="0.25">
      <c r="A1532" s="8">
        <v>60104202</v>
      </c>
      <c r="B1532" s="9" t="s">
        <v>417</v>
      </c>
      <c r="C1532" s="33" t="s">
        <v>55</v>
      </c>
      <c r="D1532" s="8">
        <v>2</v>
      </c>
      <c r="E1532" s="11">
        <v>1298</v>
      </c>
      <c r="F1532" s="10">
        <v>2596</v>
      </c>
    </row>
    <row r="1533" spans="1:6" x14ac:dyDescent="0.25">
      <c r="A1533" s="2"/>
      <c r="B1533" s="2"/>
      <c r="C1533" s="2"/>
      <c r="D1533" s="2"/>
      <c r="E1533" s="13" t="s">
        <v>87</v>
      </c>
      <c r="F1533" s="14">
        <v>925580.7</v>
      </c>
    </row>
    <row r="1534" spans="1:6" ht="15.75" thickBot="1" x14ac:dyDescent="0.3">
      <c r="A1534" s="1"/>
      <c r="B1534" s="1"/>
      <c r="C1534" s="1"/>
      <c r="D1534" s="1"/>
      <c r="E1534" s="1"/>
      <c r="F1534" s="1"/>
    </row>
    <row r="1535" spans="1:6" ht="34.5" thickBot="1" x14ac:dyDescent="0.3">
      <c r="A1535" s="4" t="s">
        <v>19</v>
      </c>
      <c r="B1535" s="4" t="s">
        <v>20</v>
      </c>
      <c r="C1535" s="4" t="s">
        <v>21</v>
      </c>
      <c r="D1535" s="4" t="s">
        <v>22</v>
      </c>
      <c r="E1535" s="4" t="s">
        <v>23</v>
      </c>
      <c r="F1535" s="4" t="s">
        <v>24</v>
      </c>
    </row>
    <row r="1536" spans="1:6" ht="15.75" thickBot="1" x14ac:dyDescent="0.3">
      <c r="A1536" s="32" t="s">
        <v>418</v>
      </c>
      <c r="B1536" s="32" t="s">
        <v>419</v>
      </c>
      <c r="C1536" s="32" t="s">
        <v>27</v>
      </c>
      <c r="D1536" s="6" t="s">
        <v>188</v>
      </c>
      <c r="E1536" s="6" t="s">
        <v>262</v>
      </c>
      <c r="F1536" s="6"/>
    </row>
    <row r="1537" spans="1:6" ht="15.75" thickBot="1" x14ac:dyDescent="0.3">
      <c r="A1537" s="35" t="s">
        <v>31</v>
      </c>
      <c r="B1537" s="7" t="s">
        <v>32</v>
      </c>
      <c r="C1537" s="15">
        <v>45323</v>
      </c>
      <c r="D1537" s="35" t="s">
        <v>33</v>
      </c>
      <c r="E1537" s="7" t="s">
        <v>34</v>
      </c>
      <c r="F1537" s="6"/>
    </row>
    <row r="1538" spans="1:6" ht="15.75" thickBot="1" x14ac:dyDescent="0.3">
      <c r="A1538" s="36"/>
      <c r="B1538" s="7" t="s">
        <v>36</v>
      </c>
      <c r="C1538" s="5">
        <v>1</v>
      </c>
      <c r="D1538" s="36"/>
      <c r="E1538" s="7" t="s">
        <v>37</v>
      </c>
      <c r="F1538" s="6"/>
    </row>
    <row r="1539" spans="1:6" ht="15.75" thickBot="1" x14ac:dyDescent="0.3">
      <c r="A1539" s="36"/>
      <c r="B1539" s="7" t="s">
        <v>39</v>
      </c>
      <c r="C1539" s="15">
        <v>45381</v>
      </c>
      <c r="D1539" s="36"/>
      <c r="E1539" s="7" t="s">
        <v>40</v>
      </c>
      <c r="F1539" s="6"/>
    </row>
    <row r="1540" spans="1:6" ht="15.75" thickBot="1" x14ac:dyDescent="0.3">
      <c r="A1540" s="36"/>
      <c r="B1540" s="7" t="s">
        <v>36</v>
      </c>
      <c r="C1540" s="5">
        <v>1</v>
      </c>
      <c r="D1540" s="36"/>
      <c r="E1540" s="7" t="s">
        <v>41</v>
      </c>
      <c r="F1540" s="6"/>
    </row>
    <row r="1541" spans="1:6" ht="15.75" thickBot="1" x14ac:dyDescent="0.3">
      <c r="A1541" s="2"/>
      <c r="B1541" s="2"/>
      <c r="C1541" s="2"/>
      <c r="D1541" s="2"/>
      <c r="E1541" s="2"/>
      <c r="F1541" s="2"/>
    </row>
    <row r="1542" spans="1:6" ht="15.75" thickBot="1" x14ac:dyDescent="0.3">
      <c r="A1542" s="12" t="s">
        <v>42</v>
      </c>
      <c r="B1542" s="12" t="s">
        <v>43</v>
      </c>
      <c r="C1542" s="12" t="s">
        <v>44</v>
      </c>
      <c r="D1542" s="12" t="s">
        <v>45</v>
      </c>
      <c r="E1542" s="12" t="s">
        <v>46</v>
      </c>
      <c r="F1542" s="12" t="s">
        <v>47</v>
      </c>
    </row>
    <row r="1543" spans="1:6" ht="22.5" x14ac:dyDescent="0.25">
      <c r="A1543" s="8">
        <v>40161513</v>
      </c>
      <c r="B1543" s="9" t="s">
        <v>204</v>
      </c>
      <c r="C1543" s="8" t="s">
        <v>55</v>
      </c>
      <c r="D1543" s="8">
        <v>10</v>
      </c>
      <c r="E1543" s="11">
        <v>2124</v>
      </c>
      <c r="F1543" s="10">
        <v>21240</v>
      </c>
    </row>
    <row r="1544" spans="1:6" x14ac:dyDescent="0.25">
      <c r="A1544" s="2"/>
      <c r="B1544" s="2"/>
      <c r="C1544" s="2"/>
      <c r="D1544" s="2"/>
      <c r="E1544" s="13" t="s">
        <v>87</v>
      </c>
      <c r="F1544" s="14">
        <v>21240</v>
      </c>
    </row>
    <row r="1545" spans="1:6" ht="15.75" thickBot="1" x14ac:dyDescent="0.3">
      <c r="A1545" s="1"/>
      <c r="B1545" s="1"/>
      <c r="C1545" s="1"/>
      <c r="D1545" s="1"/>
      <c r="E1545" s="1"/>
      <c r="F1545" s="1"/>
    </row>
    <row r="1546" spans="1:6" ht="34.5" thickBot="1" x14ac:dyDescent="0.3">
      <c r="A1546" s="4" t="s">
        <v>19</v>
      </c>
      <c r="B1546" s="4" t="s">
        <v>20</v>
      </c>
      <c r="C1546" s="4" t="s">
        <v>21</v>
      </c>
      <c r="D1546" s="4" t="s">
        <v>22</v>
      </c>
      <c r="E1546" s="4" t="s">
        <v>23</v>
      </c>
      <c r="F1546" s="4" t="s">
        <v>24</v>
      </c>
    </row>
    <row r="1547" spans="1:6" ht="15.75" thickBot="1" x14ac:dyDescent="0.3">
      <c r="A1547" s="32" t="s">
        <v>420</v>
      </c>
      <c r="B1547" s="32" t="s">
        <v>421</v>
      </c>
      <c r="C1547" s="32" t="s">
        <v>27</v>
      </c>
      <c r="D1547" s="6" t="s">
        <v>188</v>
      </c>
      <c r="E1547" s="6" t="s">
        <v>262</v>
      </c>
      <c r="F1547" s="6"/>
    </row>
    <row r="1548" spans="1:6" ht="15.75" thickBot="1" x14ac:dyDescent="0.3">
      <c r="A1548" s="35" t="s">
        <v>31</v>
      </c>
      <c r="B1548" s="7" t="s">
        <v>32</v>
      </c>
      <c r="C1548" s="15">
        <v>45323</v>
      </c>
      <c r="D1548" s="35" t="s">
        <v>33</v>
      </c>
      <c r="E1548" s="7" t="s">
        <v>34</v>
      </c>
      <c r="F1548" s="6"/>
    </row>
    <row r="1549" spans="1:6" ht="15.75" thickBot="1" x14ac:dyDescent="0.3">
      <c r="A1549" s="36"/>
      <c r="B1549" s="7" t="s">
        <v>36</v>
      </c>
      <c r="C1549" s="5">
        <v>1</v>
      </c>
      <c r="D1549" s="36"/>
      <c r="E1549" s="7" t="s">
        <v>37</v>
      </c>
      <c r="F1549" s="6"/>
    </row>
    <row r="1550" spans="1:6" ht="15.75" thickBot="1" x14ac:dyDescent="0.3">
      <c r="A1550" s="36"/>
      <c r="B1550" s="7" t="s">
        <v>39</v>
      </c>
      <c r="C1550" s="15">
        <v>45381</v>
      </c>
      <c r="D1550" s="36"/>
      <c r="E1550" s="7" t="s">
        <v>40</v>
      </c>
      <c r="F1550" s="6"/>
    </row>
    <row r="1551" spans="1:6" ht="15.75" thickBot="1" x14ac:dyDescent="0.3">
      <c r="A1551" s="36"/>
      <c r="B1551" s="7" t="s">
        <v>36</v>
      </c>
      <c r="C1551" s="5">
        <v>1</v>
      </c>
      <c r="D1551" s="36"/>
      <c r="E1551" s="7" t="s">
        <v>41</v>
      </c>
      <c r="F1551" s="6"/>
    </row>
    <row r="1552" spans="1:6" ht="15.75" thickBot="1" x14ac:dyDescent="0.3">
      <c r="A1552" s="2"/>
      <c r="B1552" s="2"/>
      <c r="C1552" s="2"/>
      <c r="D1552" s="2"/>
      <c r="E1552" s="2"/>
      <c r="F1552" s="2"/>
    </row>
    <row r="1553" spans="1:6" ht="15.75" thickBot="1" x14ac:dyDescent="0.3">
      <c r="A1553" s="12" t="s">
        <v>42</v>
      </c>
      <c r="B1553" s="12" t="s">
        <v>43</v>
      </c>
      <c r="C1553" s="12" t="s">
        <v>44</v>
      </c>
      <c r="D1553" s="12" t="s">
        <v>45</v>
      </c>
      <c r="E1553" s="12" t="s">
        <v>46</v>
      </c>
      <c r="F1553" s="12" t="s">
        <v>47</v>
      </c>
    </row>
    <row r="1554" spans="1:6" x14ac:dyDescent="0.25">
      <c r="A1554" s="8">
        <v>13101723</v>
      </c>
      <c r="B1554" s="9" t="s">
        <v>422</v>
      </c>
      <c r="C1554" s="8" t="s">
        <v>55</v>
      </c>
      <c r="D1554" s="8">
        <v>10</v>
      </c>
      <c r="E1554" s="11">
        <v>3120</v>
      </c>
      <c r="F1554" s="10">
        <v>31200</v>
      </c>
    </row>
    <row r="1555" spans="1:6" x14ac:dyDescent="0.25">
      <c r="A1555" s="8">
        <v>13101723</v>
      </c>
      <c r="B1555" s="9" t="s">
        <v>422</v>
      </c>
      <c r="C1555" s="33" t="s">
        <v>55</v>
      </c>
      <c r="D1555" s="8">
        <v>15</v>
      </c>
      <c r="E1555" s="11">
        <v>2022</v>
      </c>
      <c r="F1555" s="10">
        <v>30330</v>
      </c>
    </row>
    <row r="1556" spans="1:6" x14ac:dyDescent="0.25">
      <c r="A1556" s="8">
        <v>13101723</v>
      </c>
      <c r="B1556" s="9" t="s">
        <v>422</v>
      </c>
      <c r="C1556" s="33" t="s">
        <v>55</v>
      </c>
      <c r="D1556" s="8">
        <v>30</v>
      </c>
      <c r="E1556" s="11">
        <v>870</v>
      </c>
      <c r="F1556" s="10">
        <v>26100</v>
      </c>
    </row>
    <row r="1557" spans="1:6" ht="45" x14ac:dyDescent="0.25">
      <c r="A1557" s="8">
        <v>48101909</v>
      </c>
      <c r="B1557" s="9" t="s">
        <v>423</v>
      </c>
      <c r="C1557" s="33" t="s">
        <v>55</v>
      </c>
      <c r="D1557" s="8">
        <v>20</v>
      </c>
      <c r="E1557" s="11">
        <v>1139.99</v>
      </c>
      <c r="F1557" s="10">
        <v>22799.8</v>
      </c>
    </row>
    <row r="1558" spans="1:6" ht="22.5" x14ac:dyDescent="0.25">
      <c r="A1558" s="8">
        <v>52151704</v>
      </c>
      <c r="B1558" s="9" t="s">
        <v>424</v>
      </c>
      <c r="C1558" s="33" t="s">
        <v>49</v>
      </c>
      <c r="D1558" s="8">
        <v>3</v>
      </c>
      <c r="E1558" s="11">
        <v>1176</v>
      </c>
      <c r="F1558" s="10">
        <v>3528</v>
      </c>
    </row>
    <row r="1559" spans="1:6" x14ac:dyDescent="0.25">
      <c r="A1559" s="8">
        <v>52121604</v>
      </c>
      <c r="B1559" s="9" t="s">
        <v>425</v>
      </c>
      <c r="C1559" s="33" t="s">
        <v>55</v>
      </c>
      <c r="D1559" s="8">
        <v>10</v>
      </c>
      <c r="E1559" s="11">
        <v>720</v>
      </c>
      <c r="F1559" s="10">
        <v>7200</v>
      </c>
    </row>
    <row r="1560" spans="1:6" ht="33.75" x14ac:dyDescent="0.25">
      <c r="A1560" s="8">
        <v>52152103</v>
      </c>
      <c r="B1560" s="9" t="s">
        <v>426</v>
      </c>
      <c r="C1560" s="33" t="s">
        <v>55</v>
      </c>
      <c r="D1560" s="8">
        <v>10</v>
      </c>
      <c r="E1560" s="11">
        <v>863.99</v>
      </c>
      <c r="F1560" s="10">
        <v>8639.9</v>
      </c>
    </row>
    <row r="1561" spans="1:6" x14ac:dyDescent="0.25">
      <c r="A1561" s="2"/>
      <c r="B1561" s="2"/>
      <c r="C1561" s="2"/>
      <c r="D1561" s="2"/>
      <c r="E1561" s="13" t="s">
        <v>87</v>
      </c>
      <c r="F1561" s="14">
        <v>129797.7</v>
      </c>
    </row>
    <row r="1562" spans="1:6" ht="15.75" thickBot="1" x14ac:dyDescent="0.3">
      <c r="A1562" s="1"/>
      <c r="B1562" s="1"/>
      <c r="C1562" s="1"/>
      <c r="D1562" s="1"/>
      <c r="E1562" s="1"/>
      <c r="F1562" s="1"/>
    </row>
    <row r="1563" spans="1:6" ht="34.5" thickBot="1" x14ac:dyDescent="0.3">
      <c r="A1563" s="4" t="s">
        <v>19</v>
      </c>
      <c r="B1563" s="4" t="s">
        <v>20</v>
      </c>
      <c r="C1563" s="4" t="s">
        <v>21</v>
      </c>
      <c r="D1563" s="4" t="s">
        <v>22</v>
      </c>
      <c r="E1563" s="4" t="s">
        <v>23</v>
      </c>
      <c r="F1563" s="4" t="s">
        <v>24</v>
      </c>
    </row>
    <row r="1564" spans="1:6" ht="15.75" thickBot="1" x14ac:dyDescent="0.3">
      <c r="A1564" s="32" t="s">
        <v>427</v>
      </c>
      <c r="B1564" s="32" t="s">
        <v>225</v>
      </c>
      <c r="C1564" s="32" t="s">
        <v>27</v>
      </c>
      <c r="D1564" s="6" t="s">
        <v>28</v>
      </c>
      <c r="E1564" s="6" t="s">
        <v>262</v>
      </c>
      <c r="F1564" s="6"/>
    </row>
    <row r="1565" spans="1:6" ht="15.75" thickBot="1" x14ac:dyDescent="0.3">
      <c r="A1565" s="35" t="s">
        <v>31</v>
      </c>
      <c r="B1565" s="7" t="s">
        <v>32</v>
      </c>
      <c r="C1565" s="15">
        <v>45323</v>
      </c>
      <c r="D1565" s="35" t="s">
        <v>33</v>
      </c>
      <c r="E1565" s="7" t="s">
        <v>34</v>
      </c>
      <c r="F1565" s="6"/>
    </row>
    <row r="1566" spans="1:6" ht="15.75" thickBot="1" x14ac:dyDescent="0.3">
      <c r="A1566" s="36"/>
      <c r="B1566" s="7" t="s">
        <v>36</v>
      </c>
      <c r="C1566" s="5">
        <v>1</v>
      </c>
      <c r="D1566" s="36"/>
      <c r="E1566" s="7" t="s">
        <v>37</v>
      </c>
      <c r="F1566" s="6"/>
    </row>
    <row r="1567" spans="1:6" ht="15.75" thickBot="1" x14ac:dyDescent="0.3">
      <c r="A1567" s="36"/>
      <c r="B1567" s="7" t="s">
        <v>39</v>
      </c>
      <c r="C1567" s="15">
        <v>45381</v>
      </c>
      <c r="D1567" s="36"/>
      <c r="E1567" s="7" t="s">
        <v>40</v>
      </c>
      <c r="F1567" s="6"/>
    </row>
    <row r="1568" spans="1:6" ht="15.75" thickBot="1" x14ac:dyDescent="0.3">
      <c r="A1568" s="36"/>
      <c r="B1568" s="7" t="s">
        <v>36</v>
      </c>
      <c r="C1568" s="5">
        <v>1</v>
      </c>
      <c r="D1568" s="36"/>
      <c r="E1568" s="7" t="s">
        <v>41</v>
      </c>
      <c r="F1568" s="6"/>
    </row>
    <row r="1569" spans="1:6" ht="15.75" thickBot="1" x14ac:dyDescent="0.3">
      <c r="A1569" s="2"/>
      <c r="B1569" s="2"/>
      <c r="C1569" s="2"/>
      <c r="D1569" s="2"/>
      <c r="E1569" s="2"/>
      <c r="F1569" s="2"/>
    </row>
    <row r="1570" spans="1:6" ht="15.75" thickBot="1" x14ac:dyDescent="0.3">
      <c r="A1570" s="12" t="s">
        <v>42</v>
      </c>
      <c r="B1570" s="12" t="s">
        <v>43</v>
      </c>
      <c r="C1570" s="12" t="s">
        <v>44</v>
      </c>
      <c r="D1570" s="12" t="s">
        <v>45</v>
      </c>
      <c r="E1570" s="12" t="s">
        <v>46</v>
      </c>
      <c r="F1570" s="12" t="s">
        <v>47</v>
      </c>
    </row>
    <row r="1571" spans="1:6" x14ac:dyDescent="0.25">
      <c r="A1571" s="8">
        <v>44121615</v>
      </c>
      <c r="B1571" s="9" t="s">
        <v>235</v>
      </c>
      <c r="C1571" s="33" t="s">
        <v>55</v>
      </c>
      <c r="D1571" s="8">
        <v>60</v>
      </c>
      <c r="E1571" s="11">
        <v>147.5</v>
      </c>
      <c r="F1571" s="10">
        <v>8850</v>
      </c>
    </row>
    <row r="1572" spans="1:6" ht="33.75" x14ac:dyDescent="0.25">
      <c r="A1572" s="8">
        <v>44121613</v>
      </c>
      <c r="B1572" s="9" t="s">
        <v>234</v>
      </c>
      <c r="C1572" s="33" t="s">
        <v>55</v>
      </c>
      <c r="D1572" s="8">
        <v>60</v>
      </c>
      <c r="E1572" s="11">
        <v>30.68</v>
      </c>
      <c r="F1572" s="10">
        <v>1840.8</v>
      </c>
    </row>
    <row r="1573" spans="1:6" ht="22.5" x14ac:dyDescent="0.25">
      <c r="A1573" s="8">
        <v>44122104</v>
      </c>
      <c r="B1573" s="9" t="s">
        <v>59</v>
      </c>
      <c r="C1573" s="8" t="s">
        <v>49</v>
      </c>
      <c r="D1573" s="8">
        <v>120</v>
      </c>
      <c r="E1573" s="11">
        <v>18.88</v>
      </c>
      <c r="F1573" s="10">
        <v>2265.6</v>
      </c>
    </row>
    <row r="1574" spans="1:6" ht="22.5" x14ac:dyDescent="0.25">
      <c r="A1574" s="8">
        <v>44122104</v>
      </c>
      <c r="B1574" s="9" t="s">
        <v>59</v>
      </c>
      <c r="C1574" s="33" t="s">
        <v>49</v>
      </c>
      <c r="D1574" s="8">
        <v>120</v>
      </c>
      <c r="E1574" s="11">
        <v>41.3</v>
      </c>
      <c r="F1574" s="10">
        <v>4956</v>
      </c>
    </row>
    <row r="1575" spans="1:6" x14ac:dyDescent="0.25">
      <c r="A1575" s="8">
        <v>44121701</v>
      </c>
      <c r="B1575" s="9" t="s">
        <v>53</v>
      </c>
      <c r="C1575" s="33" t="s">
        <v>49</v>
      </c>
      <c r="D1575" s="8">
        <v>60</v>
      </c>
      <c r="E1575" s="11">
        <v>72</v>
      </c>
      <c r="F1575" s="10">
        <v>4320</v>
      </c>
    </row>
    <row r="1576" spans="1:6" ht="33.75" x14ac:dyDescent="0.25">
      <c r="A1576" s="8">
        <v>14111507</v>
      </c>
      <c r="B1576" s="9" t="s">
        <v>428</v>
      </c>
      <c r="C1576" s="8" t="s">
        <v>51</v>
      </c>
      <c r="D1576" s="8">
        <v>120</v>
      </c>
      <c r="E1576" s="11">
        <v>344.5</v>
      </c>
      <c r="F1576" s="10">
        <v>41340</v>
      </c>
    </row>
    <row r="1577" spans="1:6" ht="33.75" x14ac:dyDescent="0.25">
      <c r="A1577" s="8">
        <v>14111507</v>
      </c>
      <c r="B1577" s="9" t="s">
        <v>428</v>
      </c>
      <c r="C1577" s="33" t="s">
        <v>51</v>
      </c>
      <c r="D1577" s="8">
        <v>480</v>
      </c>
      <c r="E1577" s="11">
        <v>226.56</v>
      </c>
      <c r="F1577" s="10">
        <v>108748.8</v>
      </c>
    </row>
    <row r="1578" spans="1:6" ht="22.5" x14ac:dyDescent="0.25">
      <c r="A1578" s="8">
        <v>44121506</v>
      </c>
      <c r="B1578" s="9" t="s">
        <v>429</v>
      </c>
      <c r="C1578" s="33" t="s">
        <v>49</v>
      </c>
      <c r="D1578" s="8">
        <v>240</v>
      </c>
      <c r="E1578" s="11">
        <v>3304</v>
      </c>
      <c r="F1578" s="10">
        <v>792960</v>
      </c>
    </row>
    <row r="1579" spans="1:6" ht="22.5" x14ac:dyDescent="0.25">
      <c r="A1579" s="8">
        <v>44121506</v>
      </c>
      <c r="B1579" s="9" t="s">
        <v>429</v>
      </c>
      <c r="C1579" s="33" t="s">
        <v>49</v>
      </c>
      <c r="D1579" s="8">
        <v>60</v>
      </c>
      <c r="E1579" s="11">
        <v>3037.32</v>
      </c>
      <c r="F1579" s="10">
        <v>182239.2</v>
      </c>
    </row>
    <row r="1580" spans="1:6" ht="22.5" x14ac:dyDescent="0.25">
      <c r="A1580" s="8">
        <v>44121506</v>
      </c>
      <c r="B1580" s="9" t="s">
        <v>429</v>
      </c>
      <c r="C1580" s="33" t="s">
        <v>49</v>
      </c>
      <c r="D1580" s="8">
        <v>60</v>
      </c>
      <c r="E1580" s="11">
        <v>2676.24</v>
      </c>
      <c r="F1580" s="10">
        <v>160574.39999999999</v>
      </c>
    </row>
    <row r="1581" spans="1:6" x14ac:dyDescent="0.25">
      <c r="A1581" s="8">
        <v>44122011</v>
      </c>
      <c r="B1581" s="9" t="s">
        <v>52</v>
      </c>
      <c r="C1581" s="33" t="s">
        <v>49</v>
      </c>
      <c r="D1581" s="8">
        <v>120</v>
      </c>
      <c r="E1581" s="11">
        <v>254.88</v>
      </c>
      <c r="F1581" s="10">
        <v>30585.599999999999</v>
      </c>
    </row>
    <row r="1582" spans="1:6" ht="45" x14ac:dyDescent="0.25">
      <c r="A1582" s="8">
        <v>14111807</v>
      </c>
      <c r="B1582" s="9" t="s">
        <v>430</v>
      </c>
      <c r="C1582" s="33" t="s">
        <v>55</v>
      </c>
      <c r="D1582" s="8">
        <v>60</v>
      </c>
      <c r="E1582" s="11">
        <v>230.1</v>
      </c>
      <c r="F1582" s="10">
        <v>13806</v>
      </c>
    </row>
    <row r="1583" spans="1:6" ht="45" x14ac:dyDescent="0.25">
      <c r="A1583" s="8">
        <v>14111526</v>
      </c>
      <c r="B1583" s="9" t="s">
        <v>431</v>
      </c>
      <c r="C1583" s="33" t="s">
        <v>55</v>
      </c>
      <c r="D1583" s="8">
        <v>120</v>
      </c>
      <c r="E1583" s="11">
        <v>30.68</v>
      </c>
      <c r="F1583" s="10">
        <v>3681.6</v>
      </c>
    </row>
    <row r="1584" spans="1:6" ht="45" x14ac:dyDescent="0.25">
      <c r="A1584" s="8">
        <v>14111526</v>
      </c>
      <c r="B1584" s="9" t="s">
        <v>431</v>
      </c>
      <c r="C1584" s="33" t="s">
        <v>55</v>
      </c>
      <c r="D1584" s="8">
        <v>120</v>
      </c>
      <c r="E1584" s="11">
        <v>18.88</v>
      </c>
      <c r="F1584" s="10">
        <v>2265.6</v>
      </c>
    </row>
    <row r="1585" spans="1:6" ht="33.75" x14ac:dyDescent="0.25">
      <c r="A1585" s="8">
        <v>14111514</v>
      </c>
      <c r="B1585" s="9" t="s">
        <v>432</v>
      </c>
      <c r="C1585" s="33" t="s">
        <v>55</v>
      </c>
      <c r="D1585" s="8">
        <v>240</v>
      </c>
      <c r="E1585" s="11">
        <v>46.02</v>
      </c>
      <c r="F1585" s="10">
        <v>11044.800000000001</v>
      </c>
    </row>
    <row r="1586" spans="1:6" x14ac:dyDescent="0.25">
      <c r="A1586" s="8">
        <v>44121708</v>
      </c>
      <c r="B1586" s="9" t="s">
        <v>60</v>
      </c>
      <c r="C1586" s="33" t="s">
        <v>55</v>
      </c>
      <c r="D1586" s="8">
        <v>180</v>
      </c>
      <c r="E1586" s="11">
        <v>12.98</v>
      </c>
      <c r="F1586" s="10">
        <v>2336.4</v>
      </c>
    </row>
    <row r="1587" spans="1:6" x14ac:dyDescent="0.25">
      <c r="A1587" s="8">
        <v>44121708</v>
      </c>
      <c r="B1587" s="9" t="s">
        <v>60</v>
      </c>
      <c r="C1587" s="33" t="s">
        <v>55</v>
      </c>
      <c r="D1587" s="8">
        <v>300</v>
      </c>
      <c r="E1587" s="11">
        <v>22.42</v>
      </c>
      <c r="F1587" s="10">
        <v>6726.0000000000009</v>
      </c>
    </row>
    <row r="1588" spans="1:6" x14ac:dyDescent="0.25">
      <c r="A1588" s="8">
        <v>44121804</v>
      </c>
      <c r="B1588" s="9" t="s">
        <v>228</v>
      </c>
      <c r="C1588" s="33" t="s">
        <v>55</v>
      </c>
      <c r="D1588" s="8">
        <v>80</v>
      </c>
      <c r="E1588" s="11">
        <v>37.76</v>
      </c>
      <c r="F1588" s="10">
        <v>3020.7999999999997</v>
      </c>
    </row>
    <row r="1589" spans="1:6" ht="22.5" x14ac:dyDescent="0.25">
      <c r="A1589" s="8">
        <v>31201512</v>
      </c>
      <c r="B1589" s="9" t="s">
        <v>68</v>
      </c>
      <c r="C1589" s="33" t="s">
        <v>55</v>
      </c>
      <c r="D1589" s="8">
        <v>120</v>
      </c>
      <c r="E1589" s="11">
        <v>11.59</v>
      </c>
      <c r="F1589" s="10">
        <v>1390.8</v>
      </c>
    </row>
    <row r="1590" spans="1:6" ht="22.5" x14ac:dyDescent="0.25">
      <c r="A1590" s="8">
        <v>31201512</v>
      </c>
      <c r="B1590" s="9" t="s">
        <v>68</v>
      </c>
      <c r="C1590" s="33" t="s">
        <v>55</v>
      </c>
      <c r="D1590" s="8">
        <v>120</v>
      </c>
      <c r="E1590" s="11">
        <v>59</v>
      </c>
      <c r="F1590" s="10">
        <v>7080</v>
      </c>
    </row>
    <row r="1591" spans="1:6" x14ac:dyDescent="0.25">
      <c r="A1591" s="8">
        <v>44122101</v>
      </c>
      <c r="B1591" s="9" t="s">
        <v>233</v>
      </c>
      <c r="C1591" s="33" t="s">
        <v>49</v>
      </c>
      <c r="D1591" s="8">
        <v>60</v>
      </c>
      <c r="E1591" s="11">
        <v>28.32</v>
      </c>
      <c r="F1591" s="10">
        <v>1699.2</v>
      </c>
    </row>
    <row r="1592" spans="1:6" ht="22.5" x14ac:dyDescent="0.25">
      <c r="A1592" s="8">
        <v>44121802</v>
      </c>
      <c r="B1592" s="9" t="s">
        <v>82</v>
      </c>
      <c r="C1592" s="33" t="s">
        <v>55</v>
      </c>
      <c r="D1592" s="8">
        <v>50</v>
      </c>
      <c r="E1592" s="11">
        <v>24.78</v>
      </c>
      <c r="F1592" s="10">
        <v>1239</v>
      </c>
    </row>
    <row r="1593" spans="1:6" ht="33.75" x14ac:dyDescent="0.25">
      <c r="A1593" s="8">
        <v>44122105</v>
      </c>
      <c r="B1593" s="9" t="s">
        <v>62</v>
      </c>
      <c r="C1593" s="33" t="s">
        <v>49</v>
      </c>
      <c r="D1593" s="8">
        <v>36</v>
      </c>
      <c r="E1593" s="11">
        <v>68.44</v>
      </c>
      <c r="F1593" s="10">
        <v>2463.84</v>
      </c>
    </row>
    <row r="1594" spans="1:6" ht="45" x14ac:dyDescent="0.25">
      <c r="A1594" s="8">
        <v>44101603</v>
      </c>
      <c r="B1594" s="9" t="s">
        <v>433</v>
      </c>
      <c r="C1594" s="33" t="s">
        <v>55</v>
      </c>
      <c r="D1594" s="8">
        <v>2</v>
      </c>
      <c r="E1594" s="11">
        <v>27268.62</v>
      </c>
      <c r="F1594" s="10">
        <v>54537.24</v>
      </c>
    </row>
    <row r="1595" spans="1:6" x14ac:dyDescent="0.25">
      <c r="A1595" s="2"/>
      <c r="B1595" s="2"/>
      <c r="C1595" s="2"/>
      <c r="D1595" s="2"/>
      <c r="E1595" s="13" t="s">
        <v>87</v>
      </c>
      <c r="F1595" s="14">
        <v>1449971.6800000002</v>
      </c>
    </row>
    <row r="1596" spans="1:6" ht="15.75" thickBot="1" x14ac:dyDescent="0.3">
      <c r="A1596" s="1"/>
      <c r="B1596" s="1"/>
      <c r="C1596" s="1"/>
      <c r="D1596" s="1"/>
      <c r="E1596" s="1"/>
      <c r="F1596" s="1"/>
    </row>
    <row r="1597" spans="1:6" ht="34.5" thickBot="1" x14ac:dyDescent="0.3">
      <c r="A1597" s="4" t="s">
        <v>19</v>
      </c>
      <c r="B1597" s="4" t="s">
        <v>20</v>
      </c>
      <c r="C1597" s="4" t="s">
        <v>21</v>
      </c>
      <c r="D1597" s="4" t="s">
        <v>22</v>
      </c>
      <c r="E1597" s="4" t="s">
        <v>23</v>
      </c>
      <c r="F1597" s="4" t="s">
        <v>24</v>
      </c>
    </row>
    <row r="1598" spans="1:6" ht="15.75" thickBot="1" x14ac:dyDescent="0.3">
      <c r="A1598" s="32" t="s">
        <v>434</v>
      </c>
      <c r="B1598" s="32" t="s">
        <v>435</v>
      </c>
      <c r="C1598" s="32" t="s">
        <v>27</v>
      </c>
      <c r="D1598" s="6" t="s">
        <v>28</v>
      </c>
      <c r="E1598" s="6" t="s">
        <v>262</v>
      </c>
      <c r="F1598" s="6"/>
    </row>
    <row r="1599" spans="1:6" ht="15.75" thickBot="1" x14ac:dyDescent="0.3">
      <c r="A1599" s="35" t="s">
        <v>31</v>
      </c>
      <c r="B1599" s="7" t="s">
        <v>32</v>
      </c>
      <c r="C1599" s="15">
        <v>45323</v>
      </c>
      <c r="D1599" s="35" t="s">
        <v>33</v>
      </c>
      <c r="E1599" s="7" t="s">
        <v>34</v>
      </c>
      <c r="F1599" s="6"/>
    </row>
    <row r="1600" spans="1:6" ht="15.75" thickBot="1" x14ac:dyDescent="0.3">
      <c r="A1600" s="36"/>
      <c r="B1600" s="7" t="s">
        <v>36</v>
      </c>
      <c r="C1600" s="5">
        <v>1</v>
      </c>
      <c r="D1600" s="36"/>
      <c r="E1600" s="7" t="s">
        <v>37</v>
      </c>
      <c r="F1600" s="6"/>
    </row>
    <row r="1601" spans="1:6" ht="15.75" thickBot="1" x14ac:dyDescent="0.3">
      <c r="A1601" s="36"/>
      <c r="B1601" s="7" t="s">
        <v>39</v>
      </c>
      <c r="C1601" s="15">
        <v>45381</v>
      </c>
      <c r="D1601" s="36"/>
      <c r="E1601" s="7" t="s">
        <v>40</v>
      </c>
      <c r="F1601" s="6"/>
    </row>
    <row r="1602" spans="1:6" ht="15.75" thickBot="1" x14ac:dyDescent="0.3">
      <c r="A1602" s="36"/>
      <c r="B1602" s="7" t="s">
        <v>36</v>
      </c>
      <c r="C1602" s="5">
        <v>1</v>
      </c>
      <c r="D1602" s="36"/>
      <c r="E1602" s="7" t="s">
        <v>41</v>
      </c>
      <c r="F1602" s="6"/>
    </row>
    <row r="1603" spans="1:6" ht="15.75" thickBot="1" x14ac:dyDescent="0.3">
      <c r="A1603" s="2"/>
      <c r="B1603" s="2"/>
      <c r="C1603" s="2"/>
      <c r="D1603" s="2"/>
      <c r="E1603" s="2"/>
      <c r="F1603" s="2"/>
    </row>
    <row r="1604" spans="1:6" ht="15.75" thickBot="1" x14ac:dyDescent="0.3">
      <c r="A1604" s="12" t="s">
        <v>42</v>
      </c>
      <c r="B1604" s="12" t="s">
        <v>43</v>
      </c>
      <c r="C1604" s="12" t="s">
        <v>44</v>
      </c>
      <c r="D1604" s="12" t="s">
        <v>45</v>
      </c>
      <c r="E1604" s="12" t="s">
        <v>46</v>
      </c>
      <c r="F1604" s="12" t="s">
        <v>47</v>
      </c>
    </row>
    <row r="1605" spans="1:6" x14ac:dyDescent="0.25">
      <c r="A1605" s="8">
        <v>40161502</v>
      </c>
      <c r="B1605" s="9" t="s">
        <v>436</v>
      </c>
      <c r="C1605" s="8" t="s">
        <v>55</v>
      </c>
      <c r="D1605" s="8">
        <v>50</v>
      </c>
      <c r="E1605" s="11">
        <v>259.60000000000002</v>
      </c>
      <c r="F1605" s="10">
        <v>12980.000000000002</v>
      </c>
    </row>
    <row r="1606" spans="1:6" x14ac:dyDescent="0.25">
      <c r="A1606" s="8">
        <v>40161505</v>
      </c>
      <c r="B1606" s="9" t="s">
        <v>437</v>
      </c>
      <c r="C1606" s="33" t="s">
        <v>55</v>
      </c>
      <c r="D1606" s="8">
        <v>4</v>
      </c>
      <c r="E1606" s="11">
        <v>18946.080000000002</v>
      </c>
      <c r="F1606" s="10">
        <v>75784.320000000007</v>
      </c>
    </row>
    <row r="1607" spans="1:6" ht="22.5" x14ac:dyDescent="0.25">
      <c r="A1607" s="8">
        <v>40161504</v>
      </c>
      <c r="B1607" s="9" t="s">
        <v>203</v>
      </c>
      <c r="C1607" s="33" t="s">
        <v>55</v>
      </c>
      <c r="D1607" s="8">
        <v>50</v>
      </c>
      <c r="E1607" s="11">
        <v>1416</v>
      </c>
      <c r="F1607" s="10">
        <v>70800</v>
      </c>
    </row>
    <row r="1608" spans="1:6" x14ac:dyDescent="0.25">
      <c r="A1608" s="8">
        <v>15121501</v>
      </c>
      <c r="B1608" s="9" t="s">
        <v>206</v>
      </c>
      <c r="C1608" s="33" t="s">
        <v>55</v>
      </c>
      <c r="D1608" s="8">
        <v>15</v>
      </c>
      <c r="E1608" s="11">
        <v>49560</v>
      </c>
      <c r="F1608" s="10">
        <v>743400</v>
      </c>
    </row>
    <row r="1609" spans="1:6" ht="22.5" x14ac:dyDescent="0.25">
      <c r="A1609" s="8">
        <v>40151506</v>
      </c>
      <c r="B1609" s="9" t="s">
        <v>438</v>
      </c>
      <c r="C1609" s="33" t="s">
        <v>55</v>
      </c>
      <c r="D1609" s="8">
        <v>2</v>
      </c>
      <c r="E1609" s="11">
        <v>7708.94</v>
      </c>
      <c r="F1609" s="10">
        <v>15417.88</v>
      </c>
    </row>
    <row r="1610" spans="1:6" x14ac:dyDescent="0.25">
      <c r="A1610" s="2"/>
      <c r="B1610" s="2"/>
      <c r="C1610" s="2"/>
      <c r="D1610" s="2"/>
      <c r="E1610" s="13" t="s">
        <v>87</v>
      </c>
      <c r="F1610" s="14">
        <v>918382.20000000007</v>
      </c>
    </row>
    <row r="1611" spans="1:6" ht="15.75" thickBot="1" x14ac:dyDescent="0.3">
      <c r="A1611" s="1"/>
      <c r="B1611" s="1"/>
      <c r="C1611" s="1"/>
      <c r="D1611" s="1"/>
      <c r="E1611" s="1"/>
      <c r="F1611" s="1"/>
    </row>
    <row r="1612" spans="1:6" ht="34.5" thickBot="1" x14ac:dyDescent="0.3">
      <c r="A1612" s="4" t="s">
        <v>19</v>
      </c>
      <c r="B1612" s="4" t="s">
        <v>20</v>
      </c>
      <c r="C1612" s="4" t="s">
        <v>21</v>
      </c>
      <c r="D1612" s="4" t="s">
        <v>22</v>
      </c>
      <c r="E1612" s="4" t="s">
        <v>23</v>
      </c>
      <c r="F1612" s="4" t="s">
        <v>24</v>
      </c>
    </row>
    <row r="1613" spans="1:6" ht="15.75" thickBot="1" x14ac:dyDescent="0.3">
      <c r="A1613" s="32" t="s">
        <v>439</v>
      </c>
      <c r="B1613" s="32" t="s">
        <v>440</v>
      </c>
      <c r="C1613" s="32" t="s">
        <v>27</v>
      </c>
      <c r="D1613" s="6" t="s">
        <v>28</v>
      </c>
      <c r="E1613" s="6" t="s">
        <v>262</v>
      </c>
      <c r="F1613" s="6"/>
    </row>
    <row r="1614" spans="1:6" ht="15.75" thickBot="1" x14ac:dyDescent="0.3">
      <c r="A1614" s="35" t="s">
        <v>31</v>
      </c>
      <c r="B1614" s="7" t="s">
        <v>32</v>
      </c>
      <c r="C1614" s="15">
        <v>45323</v>
      </c>
      <c r="D1614" s="35" t="s">
        <v>33</v>
      </c>
      <c r="E1614" s="7" t="s">
        <v>34</v>
      </c>
      <c r="F1614" s="6"/>
    </row>
    <row r="1615" spans="1:6" ht="15.75" thickBot="1" x14ac:dyDescent="0.3">
      <c r="A1615" s="36"/>
      <c r="B1615" s="7" t="s">
        <v>36</v>
      </c>
      <c r="C1615" s="5">
        <v>1</v>
      </c>
      <c r="D1615" s="36"/>
      <c r="E1615" s="7" t="s">
        <v>37</v>
      </c>
      <c r="F1615" s="6"/>
    </row>
    <row r="1616" spans="1:6" ht="15.75" thickBot="1" x14ac:dyDescent="0.3">
      <c r="A1616" s="36"/>
      <c r="B1616" s="7" t="s">
        <v>39</v>
      </c>
      <c r="C1616" s="15">
        <v>45381</v>
      </c>
      <c r="D1616" s="36"/>
      <c r="E1616" s="7" t="s">
        <v>40</v>
      </c>
      <c r="F1616" s="6"/>
    </row>
    <row r="1617" spans="1:6" ht="15.75" thickBot="1" x14ac:dyDescent="0.3">
      <c r="A1617" s="36"/>
      <c r="B1617" s="7" t="s">
        <v>36</v>
      </c>
      <c r="C1617" s="5">
        <v>1</v>
      </c>
      <c r="D1617" s="36"/>
      <c r="E1617" s="7" t="s">
        <v>41</v>
      </c>
      <c r="F1617" s="6"/>
    </row>
    <row r="1618" spans="1:6" ht="15.75" thickBot="1" x14ac:dyDescent="0.3">
      <c r="A1618" s="2"/>
      <c r="B1618" s="2"/>
      <c r="C1618" s="2"/>
      <c r="D1618" s="2"/>
      <c r="E1618" s="2"/>
      <c r="F1618" s="2"/>
    </row>
    <row r="1619" spans="1:6" ht="15.75" thickBot="1" x14ac:dyDescent="0.3">
      <c r="A1619" s="12" t="s">
        <v>42</v>
      </c>
      <c r="B1619" s="12" t="s">
        <v>43</v>
      </c>
      <c r="C1619" s="12" t="s">
        <v>44</v>
      </c>
      <c r="D1619" s="12" t="s">
        <v>45</v>
      </c>
      <c r="E1619" s="12" t="s">
        <v>46</v>
      </c>
      <c r="F1619" s="12" t="s">
        <v>47</v>
      </c>
    </row>
    <row r="1620" spans="1:6" ht="22.5" x14ac:dyDescent="0.25">
      <c r="A1620" s="8">
        <v>47121806</v>
      </c>
      <c r="B1620" s="9" t="s">
        <v>334</v>
      </c>
      <c r="C1620" s="8" t="s">
        <v>55</v>
      </c>
      <c r="D1620" s="8">
        <v>50</v>
      </c>
      <c r="E1620" s="11">
        <v>3481</v>
      </c>
      <c r="F1620" s="10">
        <v>174050</v>
      </c>
    </row>
    <row r="1621" spans="1:6" ht="22.5" x14ac:dyDescent="0.25">
      <c r="A1621" s="8">
        <v>47121806</v>
      </c>
      <c r="B1621" s="9" t="s">
        <v>334</v>
      </c>
      <c r="C1621" s="33" t="s">
        <v>55</v>
      </c>
      <c r="D1621" s="8">
        <v>12</v>
      </c>
      <c r="E1621" s="11">
        <v>8201</v>
      </c>
      <c r="F1621" s="10">
        <v>98412</v>
      </c>
    </row>
    <row r="1622" spans="1:6" ht="56.25" x14ac:dyDescent="0.25">
      <c r="A1622" s="8">
        <v>47121702</v>
      </c>
      <c r="B1622" s="9" t="s">
        <v>328</v>
      </c>
      <c r="C1622" s="33" t="s">
        <v>55</v>
      </c>
      <c r="D1622" s="8">
        <v>50</v>
      </c>
      <c r="E1622" s="11">
        <v>885</v>
      </c>
      <c r="F1622" s="10">
        <v>44250</v>
      </c>
    </row>
    <row r="1623" spans="1:6" x14ac:dyDescent="0.25">
      <c r="A1623" s="2"/>
      <c r="B1623" s="2"/>
      <c r="C1623" s="2"/>
      <c r="D1623" s="2"/>
      <c r="E1623" s="13" t="s">
        <v>87</v>
      </c>
      <c r="F1623" s="14">
        <v>316712</v>
      </c>
    </row>
    <row r="1624" spans="1:6" ht="15.75" thickBot="1" x14ac:dyDescent="0.3">
      <c r="A1624" s="1"/>
      <c r="B1624" s="1"/>
      <c r="C1624" s="1"/>
      <c r="D1624" s="1"/>
      <c r="E1624" s="1"/>
      <c r="F1624" s="1"/>
    </row>
    <row r="1625" spans="1:6" ht="34.5" thickBot="1" x14ac:dyDescent="0.3">
      <c r="A1625" s="4" t="s">
        <v>19</v>
      </c>
      <c r="B1625" s="4" t="s">
        <v>20</v>
      </c>
      <c r="C1625" s="4" t="s">
        <v>21</v>
      </c>
      <c r="D1625" s="4" t="s">
        <v>22</v>
      </c>
      <c r="E1625" s="4" t="s">
        <v>23</v>
      </c>
      <c r="F1625" s="4" t="s">
        <v>24</v>
      </c>
    </row>
    <row r="1626" spans="1:6" ht="15.75" thickBot="1" x14ac:dyDescent="0.3">
      <c r="A1626" s="32" t="s">
        <v>441</v>
      </c>
      <c r="B1626" s="32" t="s">
        <v>442</v>
      </c>
      <c r="C1626" s="32" t="s">
        <v>27</v>
      </c>
      <c r="D1626" s="6" t="s">
        <v>28</v>
      </c>
      <c r="E1626" s="6" t="s">
        <v>262</v>
      </c>
      <c r="F1626" s="6"/>
    </row>
    <row r="1627" spans="1:6" ht="15.75" thickBot="1" x14ac:dyDescent="0.3">
      <c r="A1627" s="35" t="s">
        <v>31</v>
      </c>
      <c r="B1627" s="7" t="s">
        <v>32</v>
      </c>
      <c r="C1627" s="15">
        <v>45323</v>
      </c>
      <c r="D1627" s="35" t="s">
        <v>33</v>
      </c>
      <c r="E1627" s="7" t="s">
        <v>34</v>
      </c>
      <c r="F1627" s="6"/>
    </row>
    <row r="1628" spans="1:6" ht="15.75" thickBot="1" x14ac:dyDescent="0.3">
      <c r="A1628" s="36"/>
      <c r="B1628" s="7" t="s">
        <v>36</v>
      </c>
      <c r="C1628" s="5">
        <v>1</v>
      </c>
      <c r="D1628" s="36"/>
      <c r="E1628" s="7" t="s">
        <v>37</v>
      </c>
      <c r="F1628" s="6"/>
    </row>
    <row r="1629" spans="1:6" ht="15.75" thickBot="1" x14ac:dyDescent="0.3">
      <c r="A1629" s="36"/>
      <c r="B1629" s="7" t="s">
        <v>39</v>
      </c>
      <c r="C1629" s="15">
        <v>45381</v>
      </c>
      <c r="D1629" s="36"/>
      <c r="E1629" s="7" t="s">
        <v>40</v>
      </c>
      <c r="F1629" s="6"/>
    </row>
    <row r="1630" spans="1:6" ht="15.75" thickBot="1" x14ac:dyDescent="0.3">
      <c r="A1630" s="36"/>
      <c r="B1630" s="7" t="s">
        <v>36</v>
      </c>
      <c r="C1630" s="5">
        <v>1</v>
      </c>
      <c r="D1630" s="36"/>
      <c r="E1630" s="7" t="s">
        <v>41</v>
      </c>
      <c r="F1630" s="6"/>
    </row>
    <row r="1631" spans="1:6" ht="15.75" thickBot="1" x14ac:dyDescent="0.3">
      <c r="A1631" s="2"/>
      <c r="B1631" s="2"/>
      <c r="C1631" s="2"/>
      <c r="D1631" s="2"/>
      <c r="E1631" s="2"/>
      <c r="F1631" s="2"/>
    </row>
    <row r="1632" spans="1:6" ht="15.75" thickBot="1" x14ac:dyDescent="0.3">
      <c r="A1632" s="12" t="s">
        <v>42</v>
      </c>
      <c r="B1632" s="12" t="s">
        <v>43</v>
      </c>
      <c r="C1632" s="12" t="s">
        <v>44</v>
      </c>
      <c r="D1632" s="12" t="s">
        <v>45</v>
      </c>
      <c r="E1632" s="12" t="s">
        <v>46</v>
      </c>
      <c r="F1632" s="12" t="s">
        <v>47</v>
      </c>
    </row>
    <row r="1633" spans="1:6" ht="22.5" x14ac:dyDescent="0.25">
      <c r="A1633" s="8">
        <v>31211508</v>
      </c>
      <c r="B1633" s="9" t="s">
        <v>443</v>
      </c>
      <c r="C1633" s="33" t="s">
        <v>55</v>
      </c>
      <c r="D1633" s="8">
        <v>20</v>
      </c>
      <c r="E1633" s="11">
        <v>2360</v>
      </c>
      <c r="F1633" s="10">
        <v>47200</v>
      </c>
    </row>
    <row r="1634" spans="1:6" ht="22.5" x14ac:dyDescent="0.25">
      <c r="A1634" s="8">
        <v>31211508</v>
      </c>
      <c r="B1634" s="9" t="s">
        <v>443</v>
      </c>
      <c r="C1634" s="33" t="s">
        <v>55</v>
      </c>
      <c r="D1634" s="8">
        <v>30</v>
      </c>
      <c r="E1634" s="11">
        <v>2596</v>
      </c>
      <c r="F1634" s="10">
        <v>77880</v>
      </c>
    </row>
    <row r="1635" spans="1:6" ht="22.5" x14ac:dyDescent="0.25">
      <c r="A1635" s="8">
        <v>31211508</v>
      </c>
      <c r="B1635" s="9" t="s">
        <v>443</v>
      </c>
      <c r="C1635" s="33" t="s">
        <v>55</v>
      </c>
      <c r="D1635" s="8">
        <v>10</v>
      </c>
      <c r="E1635" s="11">
        <v>2360</v>
      </c>
      <c r="F1635" s="10">
        <v>23600</v>
      </c>
    </row>
    <row r="1636" spans="1:6" ht="22.5" x14ac:dyDescent="0.25">
      <c r="A1636" s="8">
        <v>31211508</v>
      </c>
      <c r="B1636" s="9" t="s">
        <v>443</v>
      </c>
      <c r="C1636" s="33" t="s">
        <v>55</v>
      </c>
      <c r="D1636" s="8">
        <v>30</v>
      </c>
      <c r="E1636" s="11">
        <v>1770</v>
      </c>
      <c r="F1636" s="10">
        <v>53100</v>
      </c>
    </row>
    <row r="1637" spans="1:6" ht="22.5" x14ac:dyDescent="0.25">
      <c r="A1637" s="8">
        <v>31211508</v>
      </c>
      <c r="B1637" s="9" t="s">
        <v>443</v>
      </c>
      <c r="C1637" s="33" t="s">
        <v>55</v>
      </c>
      <c r="D1637" s="8">
        <v>15</v>
      </c>
      <c r="E1637" s="11">
        <v>1534</v>
      </c>
      <c r="F1637" s="10">
        <v>23010</v>
      </c>
    </row>
    <row r="1638" spans="1:6" ht="22.5" x14ac:dyDescent="0.25">
      <c r="A1638" s="8">
        <v>31211508</v>
      </c>
      <c r="B1638" s="9" t="s">
        <v>443</v>
      </c>
      <c r="C1638" s="33" t="s">
        <v>55</v>
      </c>
      <c r="D1638" s="8">
        <v>15</v>
      </c>
      <c r="E1638" s="11">
        <v>1534</v>
      </c>
      <c r="F1638" s="10">
        <v>23010</v>
      </c>
    </row>
    <row r="1639" spans="1:6" ht="22.5" x14ac:dyDescent="0.25">
      <c r="A1639" s="8">
        <v>31211508</v>
      </c>
      <c r="B1639" s="9" t="s">
        <v>443</v>
      </c>
      <c r="C1639" s="33" t="s">
        <v>55</v>
      </c>
      <c r="D1639" s="8">
        <v>30</v>
      </c>
      <c r="E1639" s="11">
        <v>531</v>
      </c>
      <c r="F1639" s="10">
        <v>15930</v>
      </c>
    </row>
    <row r="1640" spans="1:6" x14ac:dyDescent="0.25">
      <c r="A1640" s="2"/>
      <c r="B1640" s="2"/>
      <c r="C1640" s="2"/>
      <c r="D1640" s="2"/>
      <c r="E1640" s="13" t="s">
        <v>87</v>
      </c>
      <c r="F1640" s="14">
        <v>263730</v>
      </c>
    </row>
    <row r="1641" spans="1:6" ht="15.75" thickBot="1" x14ac:dyDescent="0.3">
      <c r="A1641" s="1"/>
      <c r="B1641" s="1"/>
      <c r="C1641" s="1"/>
      <c r="D1641" s="1"/>
      <c r="E1641" s="1"/>
      <c r="F1641" s="1"/>
    </row>
    <row r="1642" spans="1:6" ht="34.5" thickBot="1" x14ac:dyDescent="0.3">
      <c r="A1642" s="4" t="s">
        <v>19</v>
      </c>
      <c r="B1642" s="4" t="s">
        <v>20</v>
      </c>
      <c r="C1642" s="4" t="s">
        <v>21</v>
      </c>
      <c r="D1642" s="4" t="s">
        <v>22</v>
      </c>
      <c r="E1642" s="4" t="s">
        <v>23</v>
      </c>
      <c r="F1642" s="4" t="s">
        <v>24</v>
      </c>
    </row>
    <row r="1643" spans="1:6" ht="15.75" thickBot="1" x14ac:dyDescent="0.3">
      <c r="A1643" s="32" t="s">
        <v>444</v>
      </c>
      <c r="B1643" s="32" t="s">
        <v>445</v>
      </c>
      <c r="C1643" s="32" t="s">
        <v>27</v>
      </c>
      <c r="D1643" s="6" t="s">
        <v>188</v>
      </c>
      <c r="E1643" s="6" t="s">
        <v>262</v>
      </c>
      <c r="F1643" s="6"/>
    </row>
    <row r="1644" spans="1:6" ht="15.75" thickBot="1" x14ac:dyDescent="0.3">
      <c r="A1644" s="35" t="s">
        <v>31</v>
      </c>
      <c r="B1644" s="7" t="s">
        <v>32</v>
      </c>
      <c r="C1644" s="15">
        <v>45323</v>
      </c>
      <c r="D1644" s="35" t="s">
        <v>33</v>
      </c>
      <c r="E1644" s="7" t="s">
        <v>34</v>
      </c>
      <c r="F1644" s="6"/>
    </row>
    <row r="1645" spans="1:6" ht="15.75" thickBot="1" x14ac:dyDescent="0.3">
      <c r="A1645" s="36"/>
      <c r="B1645" s="7" t="s">
        <v>36</v>
      </c>
      <c r="C1645" s="5">
        <v>1</v>
      </c>
      <c r="D1645" s="36"/>
      <c r="E1645" s="7" t="s">
        <v>37</v>
      </c>
      <c r="F1645" s="6"/>
    </row>
    <row r="1646" spans="1:6" ht="15.75" thickBot="1" x14ac:dyDescent="0.3">
      <c r="A1646" s="36"/>
      <c r="B1646" s="7" t="s">
        <v>39</v>
      </c>
      <c r="C1646" s="15">
        <v>45381</v>
      </c>
      <c r="D1646" s="36"/>
      <c r="E1646" s="7" t="s">
        <v>40</v>
      </c>
      <c r="F1646" s="6"/>
    </row>
    <row r="1647" spans="1:6" ht="15.75" thickBot="1" x14ac:dyDescent="0.3">
      <c r="A1647" s="36"/>
      <c r="B1647" s="7" t="s">
        <v>36</v>
      </c>
      <c r="C1647" s="5">
        <v>1</v>
      </c>
      <c r="D1647" s="36"/>
      <c r="E1647" s="7" t="s">
        <v>41</v>
      </c>
      <c r="F1647" s="6"/>
    </row>
    <row r="1648" spans="1:6" ht="15.75" thickBot="1" x14ac:dyDescent="0.3">
      <c r="A1648" s="2"/>
      <c r="B1648" s="2"/>
      <c r="C1648" s="2"/>
      <c r="D1648" s="2"/>
      <c r="E1648" s="2"/>
      <c r="F1648" s="2"/>
    </row>
    <row r="1649" spans="1:6" ht="15.75" thickBot="1" x14ac:dyDescent="0.3">
      <c r="A1649" s="12" t="s">
        <v>42</v>
      </c>
      <c r="B1649" s="12" t="s">
        <v>43</v>
      </c>
      <c r="C1649" s="12" t="s">
        <v>44</v>
      </c>
      <c r="D1649" s="12" t="s">
        <v>45</v>
      </c>
      <c r="E1649" s="12" t="s">
        <v>46</v>
      </c>
      <c r="F1649" s="12" t="s">
        <v>47</v>
      </c>
    </row>
    <row r="1650" spans="1:6" ht="22.5" x14ac:dyDescent="0.25">
      <c r="A1650" s="8">
        <v>39101605</v>
      </c>
      <c r="B1650" s="9" t="s">
        <v>446</v>
      </c>
      <c r="C1650" s="33" t="s">
        <v>55</v>
      </c>
      <c r="D1650" s="8">
        <v>180</v>
      </c>
      <c r="E1650" s="11">
        <v>1298</v>
      </c>
      <c r="F1650" s="10">
        <v>233640</v>
      </c>
    </row>
    <row r="1651" spans="1:6" x14ac:dyDescent="0.25">
      <c r="A1651" s="2"/>
      <c r="B1651" s="2"/>
      <c r="C1651" s="2"/>
      <c r="D1651" s="2"/>
      <c r="E1651" s="13" t="s">
        <v>87</v>
      </c>
      <c r="F1651" s="14">
        <v>233640</v>
      </c>
    </row>
    <row r="1652" spans="1:6" ht="15.75" thickBot="1" x14ac:dyDescent="0.3">
      <c r="A1652" s="1"/>
      <c r="B1652" s="1"/>
      <c r="C1652" s="1"/>
      <c r="D1652" s="1"/>
      <c r="E1652" s="1"/>
      <c r="F1652" s="1"/>
    </row>
    <row r="1653" spans="1:6" ht="34.5" thickBot="1" x14ac:dyDescent="0.3">
      <c r="A1653" s="4" t="s">
        <v>19</v>
      </c>
      <c r="B1653" s="4" t="s">
        <v>20</v>
      </c>
      <c r="C1653" s="4" t="s">
        <v>21</v>
      </c>
      <c r="D1653" s="4" t="s">
        <v>22</v>
      </c>
      <c r="E1653" s="4" t="s">
        <v>23</v>
      </c>
      <c r="F1653" s="4" t="s">
        <v>24</v>
      </c>
    </row>
    <row r="1654" spans="1:6" ht="15.75" thickBot="1" x14ac:dyDescent="0.3">
      <c r="A1654" s="32" t="s">
        <v>447</v>
      </c>
      <c r="B1654" s="32" t="s">
        <v>448</v>
      </c>
      <c r="C1654" s="32" t="s">
        <v>27</v>
      </c>
      <c r="D1654" s="6" t="s">
        <v>188</v>
      </c>
      <c r="E1654" s="6" t="s">
        <v>262</v>
      </c>
      <c r="F1654" s="6"/>
    </row>
    <row r="1655" spans="1:6" ht="15.75" thickBot="1" x14ac:dyDescent="0.3">
      <c r="A1655" s="35" t="s">
        <v>31</v>
      </c>
      <c r="B1655" s="7" t="s">
        <v>32</v>
      </c>
      <c r="C1655" s="15">
        <v>45323</v>
      </c>
      <c r="D1655" s="35" t="s">
        <v>33</v>
      </c>
      <c r="E1655" s="7" t="s">
        <v>34</v>
      </c>
      <c r="F1655" s="6"/>
    </row>
    <row r="1656" spans="1:6" ht="15.75" thickBot="1" x14ac:dyDescent="0.3">
      <c r="A1656" s="36"/>
      <c r="B1656" s="7" t="s">
        <v>36</v>
      </c>
      <c r="C1656" s="5">
        <v>1</v>
      </c>
      <c r="D1656" s="36"/>
      <c r="E1656" s="7" t="s">
        <v>37</v>
      </c>
      <c r="F1656" s="6"/>
    </row>
    <row r="1657" spans="1:6" ht="15.75" thickBot="1" x14ac:dyDescent="0.3">
      <c r="A1657" s="36"/>
      <c r="B1657" s="7" t="s">
        <v>39</v>
      </c>
      <c r="C1657" s="15">
        <v>45381</v>
      </c>
      <c r="D1657" s="36"/>
      <c r="E1657" s="7" t="s">
        <v>40</v>
      </c>
      <c r="F1657" s="6"/>
    </row>
    <row r="1658" spans="1:6" ht="15.75" thickBot="1" x14ac:dyDescent="0.3">
      <c r="A1658" s="36"/>
      <c r="B1658" s="7" t="s">
        <v>36</v>
      </c>
      <c r="C1658" s="5">
        <v>1</v>
      </c>
      <c r="D1658" s="36"/>
      <c r="E1658" s="7" t="s">
        <v>41</v>
      </c>
      <c r="F1658" s="6"/>
    </row>
    <row r="1659" spans="1:6" ht="15.75" thickBot="1" x14ac:dyDescent="0.3">
      <c r="A1659" s="2"/>
      <c r="B1659" s="2"/>
      <c r="C1659" s="2"/>
      <c r="D1659" s="2"/>
      <c r="E1659" s="2"/>
      <c r="F1659" s="2"/>
    </row>
    <row r="1660" spans="1:6" ht="15.75" thickBot="1" x14ac:dyDescent="0.3">
      <c r="A1660" s="12" t="s">
        <v>42</v>
      </c>
      <c r="B1660" s="12" t="s">
        <v>43</v>
      </c>
      <c r="C1660" s="12" t="s">
        <v>44</v>
      </c>
      <c r="D1660" s="12" t="s">
        <v>45</v>
      </c>
      <c r="E1660" s="12" t="s">
        <v>46</v>
      </c>
      <c r="F1660" s="12" t="s">
        <v>47</v>
      </c>
    </row>
    <row r="1661" spans="1:6" ht="67.5" x14ac:dyDescent="0.25">
      <c r="A1661" s="8">
        <v>46181525</v>
      </c>
      <c r="B1661" s="9" t="s">
        <v>449</v>
      </c>
      <c r="C1661" s="8" t="s">
        <v>55</v>
      </c>
      <c r="D1661" s="8">
        <v>25</v>
      </c>
      <c r="E1661" s="11">
        <v>885.85</v>
      </c>
      <c r="F1661" s="10">
        <v>22146.25</v>
      </c>
    </row>
    <row r="1662" spans="1:6" ht="22.5" x14ac:dyDescent="0.25">
      <c r="A1662" s="8">
        <v>46181604</v>
      </c>
      <c r="B1662" s="9" t="s">
        <v>450</v>
      </c>
      <c r="C1662" s="33" t="s">
        <v>55</v>
      </c>
      <c r="D1662" s="8">
        <v>25</v>
      </c>
      <c r="E1662" s="11">
        <v>792.37</v>
      </c>
      <c r="F1662" s="10">
        <v>19809.25</v>
      </c>
    </row>
    <row r="1663" spans="1:6" x14ac:dyDescent="0.25">
      <c r="A1663" s="2"/>
      <c r="B1663" s="2"/>
      <c r="C1663" s="2"/>
      <c r="D1663" s="2"/>
      <c r="E1663" s="13" t="s">
        <v>87</v>
      </c>
      <c r="F1663" s="14">
        <v>41955.5</v>
      </c>
    </row>
    <row r="1664" spans="1:6" ht="15.75" thickBot="1" x14ac:dyDescent="0.3">
      <c r="A1664" s="1"/>
      <c r="B1664" s="1"/>
      <c r="C1664" s="1"/>
      <c r="D1664" s="1"/>
      <c r="E1664" s="1"/>
      <c r="F1664" s="1"/>
    </row>
    <row r="1665" spans="1:6" ht="34.5" thickBot="1" x14ac:dyDescent="0.3">
      <c r="A1665" s="4" t="s">
        <v>19</v>
      </c>
      <c r="B1665" s="4" t="s">
        <v>20</v>
      </c>
      <c r="C1665" s="4" t="s">
        <v>21</v>
      </c>
      <c r="D1665" s="4" t="s">
        <v>22</v>
      </c>
      <c r="E1665" s="4" t="s">
        <v>23</v>
      </c>
      <c r="F1665" s="4" t="s">
        <v>24</v>
      </c>
    </row>
    <row r="1666" spans="1:6" ht="15.75" thickBot="1" x14ac:dyDescent="0.3">
      <c r="A1666" s="32" t="s">
        <v>451</v>
      </c>
      <c r="B1666" s="32" t="s">
        <v>452</v>
      </c>
      <c r="C1666" s="32" t="s">
        <v>129</v>
      </c>
      <c r="D1666" s="6" t="s">
        <v>28</v>
      </c>
      <c r="E1666" s="6" t="s">
        <v>262</v>
      </c>
      <c r="F1666" s="6"/>
    </row>
    <row r="1667" spans="1:6" ht="15.75" thickBot="1" x14ac:dyDescent="0.3">
      <c r="A1667" s="35" t="s">
        <v>31</v>
      </c>
      <c r="B1667" s="7" t="s">
        <v>32</v>
      </c>
      <c r="C1667" s="15">
        <v>45323</v>
      </c>
      <c r="D1667" s="35" t="s">
        <v>33</v>
      </c>
      <c r="E1667" s="7" t="s">
        <v>34</v>
      </c>
      <c r="F1667" s="6"/>
    </row>
    <row r="1668" spans="1:6" ht="15.75" thickBot="1" x14ac:dyDescent="0.3">
      <c r="A1668" s="36"/>
      <c r="B1668" s="7" t="s">
        <v>36</v>
      </c>
      <c r="C1668" s="5">
        <v>1</v>
      </c>
      <c r="D1668" s="36"/>
      <c r="E1668" s="7" t="s">
        <v>37</v>
      </c>
      <c r="F1668" s="6"/>
    </row>
    <row r="1669" spans="1:6" ht="15.75" thickBot="1" x14ac:dyDescent="0.3">
      <c r="A1669" s="36"/>
      <c r="B1669" s="7" t="s">
        <v>39</v>
      </c>
      <c r="C1669" s="15">
        <v>45381</v>
      </c>
      <c r="D1669" s="36"/>
      <c r="E1669" s="7" t="s">
        <v>40</v>
      </c>
      <c r="F1669" s="6"/>
    </row>
    <row r="1670" spans="1:6" ht="15.75" thickBot="1" x14ac:dyDescent="0.3">
      <c r="A1670" s="36"/>
      <c r="B1670" s="7" t="s">
        <v>36</v>
      </c>
      <c r="C1670" s="5">
        <v>1</v>
      </c>
      <c r="D1670" s="36"/>
      <c r="E1670" s="7" t="s">
        <v>41</v>
      </c>
      <c r="F1670" s="6"/>
    </row>
    <row r="1671" spans="1:6" ht="15.75" thickBot="1" x14ac:dyDescent="0.3">
      <c r="A1671" s="2"/>
      <c r="B1671" s="2"/>
      <c r="C1671" s="2"/>
      <c r="D1671" s="2"/>
      <c r="E1671" s="2"/>
      <c r="F1671" s="2"/>
    </row>
    <row r="1672" spans="1:6" ht="15.75" thickBot="1" x14ac:dyDescent="0.3">
      <c r="A1672" s="12" t="s">
        <v>42</v>
      </c>
      <c r="B1672" s="12" t="s">
        <v>43</v>
      </c>
      <c r="C1672" s="12" t="s">
        <v>44</v>
      </c>
      <c r="D1672" s="12" t="s">
        <v>45</v>
      </c>
      <c r="E1672" s="12" t="s">
        <v>46</v>
      </c>
      <c r="F1672" s="12" t="s">
        <v>47</v>
      </c>
    </row>
    <row r="1673" spans="1:6" ht="22.5" x14ac:dyDescent="0.25">
      <c r="A1673" s="34">
        <v>86101705</v>
      </c>
      <c r="B1673" s="9" t="s">
        <v>453</v>
      </c>
      <c r="C1673" s="33" t="s">
        <v>55</v>
      </c>
      <c r="D1673" s="8">
        <v>1</v>
      </c>
      <c r="E1673" s="11">
        <v>1500000</v>
      </c>
      <c r="F1673" s="10">
        <v>1500000</v>
      </c>
    </row>
    <row r="1674" spans="1:6" x14ac:dyDescent="0.25">
      <c r="A1674" s="2"/>
      <c r="B1674" s="2"/>
      <c r="C1674" s="2"/>
      <c r="D1674" s="2"/>
      <c r="E1674" s="13" t="s">
        <v>87</v>
      </c>
      <c r="F1674" s="14">
        <v>1500000</v>
      </c>
    </row>
    <row r="1675" spans="1:6" ht="15.75" thickBot="1" x14ac:dyDescent="0.3">
      <c r="A1675" s="1"/>
      <c r="B1675" s="1"/>
      <c r="C1675" s="1"/>
      <c r="D1675" s="1"/>
      <c r="E1675" s="1"/>
      <c r="F1675" s="1"/>
    </row>
    <row r="1676" spans="1:6" ht="34.5" thickBot="1" x14ac:dyDescent="0.3">
      <c r="A1676" s="4" t="s">
        <v>19</v>
      </c>
      <c r="B1676" s="4" t="s">
        <v>20</v>
      </c>
      <c r="C1676" s="4" t="s">
        <v>21</v>
      </c>
      <c r="D1676" s="4" t="s">
        <v>22</v>
      </c>
      <c r="E1676" s="4" t="s">
        <v>23</v>
      </c>
      <c r="F1676" s="4" t="s">
        <v>24</v>
      </c>
    </row>
    <row r="1677" spans="1:6" ht="15.75" thickBot="1" x14ac:dyDescent="0.3">
      <c r="A1677" s="32" t="s">
        <v>454</v>
      </c>
      <c r="B1677" s="32" t="s">
        <v>455</v>
      </c>
      <c r="C1677" s="32" t="s">
        <v>27</v>
      </c>
      <c r="D1677" s="6" t="s">
        <v>90</v>
      </c>
      <c r="E1677" s="6" t="s">
        <v>262</v>
      </c>
      <c r="F1677" s="6"/>
    </row>
    <row r="1678" spans="1:6" ht="15.75" thickBot="1" x14ac:dyDescent="0.3">
      <c r="A1678" s="35" t="s">
        <v>31</v>
      </c>
      <c r="B1678" s="7" t="s">
        <v>32</v>
      </c>
      <c r="C1678" s="15">
        <v>45323</v>
      </c>
      <c r="D1678" s="35" t="s">
        <v>33</v>
      </c>
      <c r="E1678" s="7" t="s">
        <v>34</v>
      </c>
      <c r="F1678" s="6"/>
    </row>
    <row r="1679" spans="1:6" ht="15.75" thickBot="1" x14ac:dyDescent="0.3">
      <c r="A1679" s="36"/>
      <c r="B1679" s="7" t="s">
        <v>36</v>
      </c>
      <c r="C1679" s="5">
        <v>1</v>
      </c>
      <c r="D1679" s="36"/>
      <c r="E1679" s="7" t="s">
        <v>37</v>
      </c>
      <c r="F1679" s="6"/>
    </row>
    <row r="1680" spans="1:6" ht="15.75" thickBot="1" x14ac:dyDescent="0.3">
      <c r="A1680" s="36"/>
      <c r="B1680" s="7" t="s">
        <v>39</v>
      </c>
      <c r="C1680" s="15">
        <v>45381</v>
      </c>
      <c r="D1680" s="36"/>
      <c r="E1680" s="7" t="s">
        <v>40</v>
      </c>
      <c r="F1680" s="6"/>
    </row>
    <row r="1681" spans="1:6" ht="15.75" thickBot="1" x14ac:dyDescent="0.3">
      <c r="A1681" s="36"/>
      <c r="B1681" s="7" t="s">
        <v>36</v>
      </c>
      <c r="C1681" s="5">
        <v>1</v>
      </c>
      <c r="D1681" s="36"/>
      <c r="E1681" s="7" t="s">
        <v>41</v>
      </c>
      <c r="F1681" s="6"/>
    </row>
    <row r="1682" spans="1:6" ht="15.75" thickBot="1" x14ac:dyDescent="0.3">
      <c r="A1682" s="2"/>
      <c r="B1682" s="2"/>
      <c r="C1682" s="2"/>
      <c r="D1682" s="2"/>
      <c r="E1682" s="2"/>
      <c r="F1682" s="2"/>
    </row>
    <row r="1683" spans="1:6" ht="15.75" thickBot="1" x14ac:dyDescent="0.3">
      <c r="A1683" s="12" t="s">
        <v>42</v>
      </c>
      <c r="B1683" s="12" t="s">
        <v>43</v>
      </c>
      <c r="C1683" s="12" t="s">
        <v>44</v>
      </c>
      <c r="D1683" s="12" t="s">
        <v>45</v>
      </c>
      <c r="E1683" s="12" t="s">
        <v>46</v>
      </c>
      <c r="F1683" s="12" t="s">
        <v>47</v>
      </c>
    </row>
    <row r="1684" spans="1:6" ht="33.75" x14ac:dyDescent="0.25">
      <c r="A1684" s="8">
        <v>14111507</v>
      </c>
      <c r="B1684" s="9" t="s">
        <v>428</v>
      </c>
      <c r="C1684" s="8" t="s">
        <v>51</v>
      </c>
      <c r="D1684" s="8">
        <v>6000</v>
      </c>
      <c r="E1684" s="11">
        <v>354</v>
      </c>
      <c r="F1684" s="10">
        <v>2124000</v>
      </c>
    </row>
    <row r="1685" spans="1:6" x14ac:dyDescent="0.25">
      <c r="A1685" s="2"/>
      <c r="B1685" s="2"/>
      <c r="C1685" s="2"/>
      <c r="D1685" s="2"/>
      <c r="E1685" s="13" t="s">
        <v>87</v>
      </c>
      <c r="F1685" s="14">
        <v>2124000</v>
      </c>
    </row>
    <row r="1686" spans="1:6" ht="15.75" thickBot="1" x14ac:dyDescent="0.3">
      <c r="A1686" s="1"/>
      <c r="B1686" s="1"/>
      <c r="C1686" s="1"/>
      <c r="D1686" s="1"/>
      <c r="E1686" s="1"/>
      <c r="F1686" s="1"/>
    </row>
    <row r="1687" spans="1:6" ht="34.5" thickBot="1" x14ac:dyDescent="0.3">
      <c r="A1687" s="4" t="s">
        <v>19</v>
      </c>
      <c r="B1687" s="4" t="s">
        <v>20</v>
      </c>
      <c r="C1687" s="4" t="s">
        <v>21</v>
      </c>
      <c r="D1687" s="4" t="s">
        <v>22</v>
      </c>
      <c r="E1687" s="4" t="s">
        <v>23</v>
      </c>
      <c r="F1687" s="4" t="s">
        <v>24</v>
      </c>
    </row>
    <row r="1688" spans="1:6" ht="15.75" thickBot="1" x14ac:dyDescent="0.3">
      <c r="A1688" s="32" t="s">
        <v>456</v>
      </c>
      <c r="B1688" s="32" t="s">
        <v>457</v>
      </c>
      <c r="C1688" s="32" t="s">
        <v>27</v>
      </c>
      <c r="D1688" s="6" t="s">
        <v>28</v>
      </c>
      <c r="E1688" s="6" t="s">
        <v>262</v>
      </c>
      <c r="F1688" s="6"/>
    </row>
    <row r="1689" spans="1:6" ht="15.75" thickBot="1" x14ac:dyDescent="0.3">
      <c r="A1689" s="35" t="s">
        <v>31</v>
      </c>
      <c r="B1689" s="7" t="s">
        <v>32</v>
      </c>
      <c r="C1689" s="15">
        <v>45323</v>
      </c>
      <c r="D1689" s="35" t="s">
        <v>33</v>
      </c>
      <c r="E1689" s="7" t="s">
        <v>34</v>
      </c>
      <c r="F1689" s="6"/>
    </row>
    <row r="1690" spans="1:6" ht="15.75" thickBot="1" x14ac:dyDescent="0.3">
      <c r="A1690" s="36"/>
      <c r="B1690" s="7" t="s">
        <v>36</v>
      </c>
      <c r="C1690" s="5">
        <v>1</v>
      </c>
      <c r="D1690" s="36"/>
      <c r="E1690" s="7" t="s">
        <v>37</v>
      </c>
      <c r="F1690" s="6"/>
    </row>
    <row r="1691" spans="1:6" ht="15.75" thickBot="1" x14ac:dyDescent="0.3">
      <c r="A1691" s="36"/>
      <c r="B1691" s="7" t="s">
        <v>39</v>
      </c>
      <c r="C1691" s="15">
        <v>45381</v>
      </c>
      <c r="D1691" s="36"/>
      <c r="E1691" s="7" t="s">
        <v>40</v>
      </c>
      <c r="F1691" s="6"/>
    </row>
    <row r="1692" spans="1:6" ht="15.75" thickBot="1" x14ac:dyDescent="0.3">
      <c r="A1692" s="36"/>
      <c r="B1692" s="7" t="s">
        <v>36</v>
      </c>
      <c r="C1692" s="5">
        <v>1</v>
      </c>
      <c r="D1692" s="36"/>
      <c r="E1692" s="7" t="s">
        <v>41</v>
      </c>
      <c r="F1692" s="6"/>
    </row>
    <row r="1693" spans="1:6" ht="15.75" thickBot="1" x14ac:dyDescent="0.3">
      <c r="A1693" s="2"/>
      <c r="B1693" s="2"/>
      <c r="C1693" s="2"/>
      <c r="D1693" s="2"/>
      <c r="E1693" s="2"/>
      <c r="F1693" s="2"/>
    </row>
    <row r="1694" spans="1:6" ht="15.75" thickBot="1" x14ac:dyDescent="0.3">
      <c r="A1694" s="12" t="s">
        <v>42</v>
      </c>
      <c r="B1694" s="12" t="s">
        <v>43</v>
      </c>
      <c r="C1694" s="12" t="s">
        <v>44</v>
      </c>
      <c r="D1694" s="12" t="s">
        <v>45</v>
      </c>
      <c r="E1694" s="12" t="s">
        <v>46</v>
      </c>
      <c r="F1694" s="12" t="s">
        <v>47</v>
      </c>
    </row>
    <row r="1695" spans="1:6" ht="22.5" x14ac:dyDescent="0.25">
      <c r="A1695" s="8">
        <v>31211903</v>
      </c>
      <c r="B1695" s="9" t="s">
        <v>458</v>
      </c>
      <c r="C1695" s="33" t="s">
        <v>55</v>
      </c>
      <c r="D1695" s="8">
        <v>1000</v>
      </c>
      <c r="E1695" s="11">
        <v>1700</v>
      </c>
      <c r="F1695" s="10">
        <v>1700000</v>
      </c>
    </row>
    <row r="1696" spans="1:6" x14ac:dyDescent="0.25">
      <c r="A1696" s="2"/>
      <c r="B1696" s="2"/>
      <c r="C1696" s="2"/>
      <c r="D1696" s="2"/>
      <c r="E1696" s="13" t="s">
        <v>87</v>
      </c>
      <c r="F1696" s="14">
        <v>1700000</v>
      </c>
    </row>
    <row r="1697" spans="1:6" ht="15.75" thickBot="1" x14ac:dyDescent="0.3">
      <c r="A1697" s="1"/>
      <c r="B1697" s="1"/>
      <c r="C1697" s="1"/>
      <c r="D1697" s="1"/>
      <c r="E1697" s="1"/>
      <c r="F1697" s="1"/>
    </row>
    <row r="1698" spans="1:6" ht="34.5" thickBot="1" x14ac:dyDescent="0.3">
      <c r="A1698" s="4" t="s">
        <v>19</v>
      </c>
      <c r="B1698" s="4" t="s">
        <v>20</v>
      </c>
      <c r="C1698" s="4" t="s">
        <v>21</v>
      </c>
      <c r="D1698" s="4" t="s">
        <v>22</v>
      </c>
      <c r="E1698" s="4" t="s">
        <v>23</v>
      </c>
      <c r="F1698" s="4" t="s">
        <v>24</v>
      </c>
    </row>
    <row r="1699" spans="1:6" ht="15.75" thickBot="1" x14ac:dyDescent="0.3">
      <c r="A1699" s="32" t="s">
        <v>459</v>
      </c>
      <c r="B1699" s="32" t="s">
        <v>460</v>
      </c>
      <c r="C1699" s="32" t="s">
        <v>27</v>
      </c>
      <c r="D1699" s="6" t="s">
        <v>28</v>
      </c>
      <c r="E1699" s="6" t="s">
        <v>262</v>
      </c>
      <c r="F1699" s="6"/>
    </row>
    <row r="1700" spans="1:6" ht="15.75" thickBot="1" x14ac:dyDescent="0.3">
      <c r="A1700" s="35" t="s">
        <v>31</v>
      </c>
      <c r="B1700" s="7" t="s">
        <v>32</v>
      </c>
      <c r="C1700" s="15">
        <v>45323</v>
      </c>
      <c r="D1700" s="35" t="s">
        <v>33</v>
      </c>
      <c r="E1700" s="7" t="s">
        <v>34</v>
      </c>
      <c r="F1700" s="6"/>
    </row>
    <row r="1701" spans="1:6" ht="15.75" thickBot="1" x14ac:dyDescent="0.3">
      <c r="A1701" s="36"/>
      <c r="B1701" s="7" t="s">
        <v>36</v>
      </c>
      <c r="C1701" s="5">
        <v>1</v>
      </c>
      <c r="D1701" s="36"/>
      <c r="E1701" s="7" t="s">
        <v>37</v>
      </c>
      <c r="F1701" s="6"/>
    </row>
    <row r="1702" spans="1:6" ht="15.75" thickBot="1" x14ac:dyDescent="0.3">
      <c r="A1702" s="36"/>
      <c r="B1702" s="7" t="s">
        <v>39</v>
      </c>
      <c r="C1702" s="15">
        <v>45381</v>
      </c>
      <c r="D1702" s="36"/>
      <c r="E1702" s="7" t="s">
        <v>40</v>
      </c>
      <c r="F1702" s="6"/>
    </row>
    <row r="1703" spans="1:6" ht="15.75" thickBot="1" x14ac:dyDescent="0.3">
      <c r="A1703" s="36"/>
      <c r="B1703" s="7" t="s">
        <v>36</v>
      </c>
      <c r="C1703" s="5">
        <v>1</v>
      </c>
      <c r="D1703" s="36"/>
      <c r="E1703" s="7" t="s">
        <v>41</v>
      </c>
      <c r="F1703" s="6"/>
    </row>
    <row r="1704" spans="1:6" ht="15.75" thickBot="1" x14ac:dyDescent="0.3">
      <c r="A1704" s="2"/>
      <c r="B1704" s="2"/>
      <c r="C1704" s="2"/>
      <c r="D1704" s="2"/>
      <c r="E1704" s="2"/>
      <c r="F1704" s="2"/>
    </row>
    <row r="1705" spans="1:6" ht="15.75" thickBot="1" x14ac:dyDescent="0.3">
      <c r="A1705" s="12" t="s">
        <v>42</v>
      </c>
      <c r="B1705" s="12" t="s">
        <v>43</v>
      </c>
      <c r="C1705" s="12" t="s">
        <v>44</v>
      </c>
      <c r="D1705" s="12" t="s">
        <v>45</v>
      </c>
      <c r="E1705" s="12" t="s">
        <v>46</v>
      </c>
      <c r="F1705" s="12" t="s">
        <v>47</v>
      </c>
    </row>
    <row r="1706" spans="1:6" ht="22.5" x14ac:dyDescent="0.25">
      <c r="A1706" s="8">
        <v>45121510</v>
      </c>
      <c r="B1706" s="9" t="s">
        <v>461</v>
      </c>
      <c r="C1706" s="33" t="s">
        <v>55</v>
      </c>
      <c r="D1706" s="8">
        <v>2</v>
      </c>
      <c r="E1706" s="11">
        <v>750000</v>
      </c>
      <c r="F1706" s="10">
        <v>1500000</v>
      </c>
    </row>
    <row r="1707" spans="1:6" x14ac:dyDescent="0.25">
      <c r="A1707" s="2"/>
      <c r="B1707" s="2"/>
      <c r="C1707" s="2"/>
      <c r="D1707" s="2"/>
      <c r="E1707" s="13" t="s">
        <v>87</v>
      </c>
      <c r="F1707" s="14">
        <v>1500000</v>
      </c>
    </row>
    <row r="1708" spans="1:6" ht="15.75" thickBot="1" x14ac:dyDescent="0.3">
      <c r="A1708" s="1"/>
      <c r="B1708" s="1"/>
      <c r="C1708" s="1"/>
      <c r="D1708" s="1"/>
      <c r="E1708" s="1"/>
      <c r="F1708" s="1"/>
    </row>
    <row r="1709" spans="1:6" ht="34.5" thickBot="1" x14ac:dyDescent="0.3">
      <c r="A1709" s="4" t="s">
        <v>19</v>
      </c>
      <c r="B1709" s="4" t="s">
        <v>20</v>
      </c>
      <c r="C1709" s="4" t="s">
        <v>21</v>
      </c>
      <c r="D1709" s="4" t="s">
        <v>22</v>
      </c>
      <c r="E1709" s="4" t="s">
        <v>23</v>
      </c>
      <c r="F1709" s="4" t="s">
        <v>24</v>
      </c>
    </row>
    <row r="1710" spans="1:6" ht="15.75" thickBot="1" x14ac:dyDescent="0.3">
      <c r="A1710" s="32" t="s">
        <v>462</v>
      </c>
      <c r="B1710" s="32" t="s">
        <v>463</v>
      </c>
      <c r="C1710" s="32" t="s">
        <v>27</v>
      </c>
      <c r="D1710" s="6" t="s">
        <v>28</v>
      </c>
      <c r="E1710" s="6" t="s">
        <v>262</v>
      </c>
      <c r="F1710" s="6"/>
    </row>
    <row r="1711" spans="1:6" ht="15.75" thickBot="1" x14ac:dyDescent="0.3">
      <c r="A1711" s="35" t="s">
        <v>31</v>
      </c>
      <c r="B1711" s="7" t="s">
        <v>32</v>
      </c>
      <c r="C1711" s="15">
        <v>45323</v>
      </c>
      <c r="D1711" s="35" t="s">
        <v>33</v>
      </c>
      <c r="E1711" s="7" t="s">
        <v>34</v>
      </c>
      <c r="F1711" s="6"/>
    </row>
    <row r="1712" spans="1:6" ht="15.75" thickBot="1" x14ac:dyDescent="0.3">
      <c r="A1712" s="36"/>
      <c r="B1712" s="7" t="s">
        <v>36</v>
      </c>
      <c r="C1712" s="5">
        <v>1</v>
      </c>
      <c r="D1712" s="36"/>
      <c r="E1712" s="7" t="s">
        <v>37</v>
      </c>
      <c r="F1712" s="6"/>
    </row>
    <row r="1713" spans="1:6" ht="15.75" thickBot="1" x14ac:dyDescent="0.3">
      <c r="A1713" s="36"/>
      <c r="B1713" s="7" t="s">
        <v>39</v>
      </c>
      <c r="C1713" s="15">
        <v>45381</v>
      </c>
      <c r="D1713" s="36"/>
      <c r="E1713" s="7" t="s">
        <v>40</v>
      </c>
      <c r="F1713" s="6"/>
    </row>
    <row r="1714" spans="1:6" ht="15.75" thickBot="1" x14ac:dyDescent="0.3">
      <c r="A1714" s="36"/>
      <c r="B1714" s="7" t="s">
        <v>36</v>
      </c>
      <c r="C1714" s="5">
        <v>1</v>
      </c>
      <c r="D1714" s="36"/>
      <c r="E1714" s="7" t="s">
        <v>41</v>
      </c>
      <c r="F1714" s="6"/>
    </row>
    <row r="1715" spans="1:6" ht="15.75" thickBot="1" x14ac:dyDescent="0.3">
      <c r="A1715" s="2"/>
      <c r="B1715" s="2"/>
      <c r="C1715" s="2"/>
      <c r="D1715" s="2"/>
      <c r="E1715" s="2"/>
      <c r="F1715" s="2"/>
    </row>
    <row r="1716" spans="1:6" ht="15.75" thickBot="1" x14ac:dyDescent="0.3">
      <c r="A1716" s="12" t="s">
        <v>42</v>
      </c>
      <c r="B1716" s="12" t="s">
        <v>43</v>
      </c>
      <c r="C1716" s="12" t="s">
        <v>44</v>
      </c>
      <c r="D1716" s="12" t="s">
        <v>45</v>
      </c>
      <c r="E1716" s="12" t="s">
        <v>46</v>
      </c>
      <c r="F1716" s="12" t="s">
        <v>47</v>
      </c>
    </row>
    <row r="1717" spans="1:6" ht="45" x14ac:dyDescent="0.25">
      <c r="A1717" s="8">
        <v>50161509</v>
      </c>
      <c r="B1717" s="9" t="s">
        <v>173</v>
      </c>
      <c r="C1717" s="8" t="s">
        <v>74</v>
      </c>
      <c r="D1717" s="8">
        <v>500</v>
      </c>
      <c r="E1717" s="11">
        <v>83.78</v>
      </c>
      <c r="F1717" s="10">
        <v>41890</v>
      </c>
    </row>
    <row r="1718" spans="1:6" ht="22.5" x14ac:dyDescent="0.25">
      <c r="A1718" s="8">
        <v>50221101</v>
      </c>
      <c r="B1718" s="9" t="s">
        <v>464</v>
      </c>
      <c r="C1718" s="33" t="s">
        <v>74</v>
      </c>
      <c r="D1718" s="8">
        <v>500</v>
      </c>
      <c r="E1718" s="11">
        <v>231.38</v>
      </c>
      <c r="F1718" s="10">
        <v>115690</v>
      </c>
    </row>
    <row r="1719" spans="1:6" ht="45" x14ac:dyDescent="0.25">
      <c r="A1719" s="8">
        <v>50151513</v>
      </c>
      <c r="B1719" s="9" t="s">
        <v>465</v>
      </c>
      <c r="C1719" s="8" t="s">
        <v>55</v>
      </c>
      <c r="D1719" s="8">
        <v>500</v>
      </c>
      <c r="E1719" s="11">
        <v>132.16</v>
      </c>
      <c r="F1719" s="10">
        <v>66080</v>
      </c>
    </row>
    <row r="1720" spans="1:6" ht="22.5" x14ac:dyDescent="0.25">
      <c r="A1720" s="8">
        <v>50192111</v>
      </c>
      <c r="B1720" s="9" t="s">
        <v>466</v>
      </c>
      <c r="C1720" s="33" t="s">
        <v>55</v>
      </c>
      <c r="D1720" s="8">
        <v>500</v>
      </c>
      <c r="E1720" s="11">
        <v>619.5</v>
      </c>
      <c r="F1720" s="10">
        <v>309750</v>
      </c>
    </row>
    <row r="1721" spans="1:6" x14ac:dyDescent="0.25">
      <c r="A1721" s="8">
        <v>50201706</v>
      </c>
      <c r="B1721" s="9" t="s">
        <v>168</v>
      </c>
      <c r="C1721" s="33" t="s">
        <v>74</v>
      </c>
      <c r="D1721" s="8">
        <v>500</v>
      </c>
      <c r="E1721" s="11">
        <v>188.8</v>
      </c>
      <c r="F1721" s="10">
        <v>94400</v>
      </c>
    </row>
    <row r="1722" spans="1:6" ht="22.5" x14ac:dyDescent="0.25">
      <c r="A1722" s="8">
        <v>50171831</v>
      </c>
      <c r="B1722" s="9" t="s">
        <v>467</v>
      </c>
      <c r="C1722" s="33" t="s">
        <v>55</v>
      </c>
      <c r="D1722" s="8">
        <v>500</v>
      </c>
      <c r="E1722" s="11">
        <v>105.2</v>
      </c>
      <c r="F1722" s="10">
        <v>52600</v>
      </c>
    </row>
    <row r="1723" spans="1:6" ht="33.75" x14ac:dyDescent="0.25">
      <c r="A1723" s="8">
        <v>50121538</v>
      </c>
      <c r="B1723" s="9" t="s">
        <v>468</v>
      </c>
      <c r="C1723" s="33" t="s">
        <v>55</v>
      </c>
      <c r="D1723" s="8">
        <v>500</v>
      </c>
      <c r="E1723" s="11">
        <v>142.78</v>
      </c>
      <c r="F1723" s="10">
        <v>71390</v>
      </c>
    </row>
    <row r="1724" spans="1:6" ht="22.5" x14ac:dyDescent="0.25">
      <c r="A1724" s="8">
        <v>50192902</v>
      </c>
      <c r="B1724" s="9" t="s">
        <v>469</v>
      </c>
      <c r="C1724" s="33" t="s">
        <v>55</v>
      </c>
      <c r="D1724" s="8">
        <v>500</v>
      </c>
      <c r="E1724" s="11">
        <v>48.38</v>
      </c>
      <c r="F1724" s="10">
        <v>24190</v>
      </c>
    </row>
    <row r="1725" spans="1:6" x14ac:dyDescent="0.25">
      <c r="A1725" s="8">
        <v>50101543</v>
      </c>
      <c r="B1725" s="9" t="s">
        <v>470</v>
      </c>
      <c r="C1725" s="33" t="s">
        <v>55</v>
      </c>
      <c r="D1725" s="8">
        <v>500</v>
      </c>
      <c r="E1725" s="11">
        <v>178.18</v>
      </c>
      <c r="F1725" s="10">
        <v>89090</v>
      </c>
    </row>
    <row r="1726" spans="1:6" ht="45" x14ac:dyDescent="0.25">
      <c r="A1726" s="8">
        <v>50131701</v>
      </c>
      <c r="B1726" s="9" t="s">
        <v>171</v>
      </c>
      <c r="C1726" s="33" t="s">
        <v>55</v>
      </c>
      <c r="D1726" s="8">
        <v>500</v>
      </c>
      <c r="E1726" s="11">
        <v>384.68</v>
      </c>
      <c r="F1726" s="10">
        <v>192340</v>
      </c>
    </row>
    <row r="1727" spans="1:6" ht="33.75" x14ac:dyDescent="0.25">
      <c r="A1727" s="8">
        <v>50121538</v>
      </c>
      <c r="B1727" s="9" t="s">
        <v>468</v>
      </c>
      <c r="C1727" s="33" t="s">
        <v>55</v>
      </c>
      <c r="D1727" s="8">
        <v>500</v>
      </c>
      <c r="E1727" s="11">
        <v>148.68</v>
      </c>
      <c r="F1727" s="10">
        <v>74340</v>
      </c>
    </row>
    <row r="1728" spans="1:6" x14ac:dyDescent="0.25">
      <c r="A1728" s="8">
        <v>50101542</v>
      </c>
      <c r="B1728" s="9" t="s">
        <v>471</v>
      </c>
      <c r="C1728" s="33" t="s">
        <v>55</v>
      </c>
      <c r="D1728" s="8">
        <v>500</v>
      </c>
      <c r="E1728" s="11">
        <v>34.22</v>
      </c>
      <c r="F1728" s="10">
        <v>17110</v>
      </c>
    </row>
    <row r="1729" spans="1:6" ht="33.75" x14ac:dyDescent="0.25">
      <c r="A1729" s="8">
        <v>50161511</v>
      </c>
      <c r="B1729" s="9" t="s">
        <v>169</v>
      </c>
      <c r="C1729" s="33" t="s">
        <v>55</v>
      </c>
      <c r="D1729" s="8">
        <v>500</v>
      </c>
      <c r="E1729" s="11">
        <v>112.1</v>
      </c>
      <c r="F1729" s="10">
        <v>56050</v>
      </c>
    </row>
    <row r="1730" spans="1:6" ht="22.5" x14ac:dyDescent="0.25">
      <c r="A1730" s="8">
        <v>50221101</v>
      </c>
      <c r="B1730" s="9" t="s">
        <v>464</v>
      </c>
      <c r="C1730" s="33" t="s">
        <v>55</v>
      </c>
      <c r="D1730" s="8">
        <v>500</v>
      </c>
      <c r="E1730" s="11">
        <v>113.28</v>
      </c>
      <c r="F1730" s="10">
        <v>56640</v>
      </c>
    </row>
    <row r="1731" spans="1:6" x14ac:dyDescent="0.25">
      <c r="A1731" s="2"/>
      <c r="B1731" s="2"/>
      <c r="C1731" s="2"/>
      <c r="D1731" s="2"/>
      <c r="E1731" s="13" t="s">
        <v>87</v>
      </c>
      <c r="F1731" s="14">
        <v>1261560</v>
      </c>
    </row>
    <row r="1732" spans="1:6" ht="15.75" thickBot="1" x14ac:dyDescent="0.3">
      <c r="A1732" s="1"/>
      <c r="B1732" s="1"/>
      <c r="C1732" s="1"/>
      <c r="D1732" s="1"/>
      <c r="E1732" s="1"/>
      <c r="F1732" s="1"/>
    </row>
    <row r="1733" spans="1:6" ht="34.5" thickBot="1" x14ac:dyDescent="0.3">
      <c r="A1733" s="4" t="s">
        <v>19</v>
      </c>
      <c r="B1733" s="4" t="s">
        <v>20</v>
      </c>
      <c r="C1733" s="4" t="s">
        <v>21</v>
      </c>
      <c r="D1733" s="4" t="s">
        <v>22</v>
      </c>
      <c r="E1733" s="4" t="s">
        <v>23</v>
      </c>
      <c r="F1733" s="4" t="s">
        <v>24</v>
      </c>
    </row>
    <row r="1734" spans="1:6" ht="15.75" thickBot="1" x14ac:dyDescent="0.3">
      <c r="A1734" s="32" t="s">
        <v>472</v>
      </c>
      <c r="B1734" s="32" t="s">
        <v>473</v>
      </c>
      <c r="C1734" s="32" t="s">
        <v>27</v>
      </c>
      <c r="D1734" s="6" t="s">
        <v>28</v>
      </c>
      <c r="E1734" s="6" t="s">
        <v>262</v>
      </c>
      <c r="F1734" s="6"/>
    </row>
    <row r="1735" spans="1:6" ht="15.75" thickBot="1" x14ac:dyDescent="0.3">
      <c r="A1735" s="35" t="s">
        <v>31</v>
      </c>
      <c r="B1735" s="7" t="s">
        <v>32</v>
      </c>
      <c r="C1735" s="15">
        <v>45323</v>
      </c>
      <c r="D1735" s="35" t="s">
        <v>33</v>
      </c>
      <c r="E1735" s="7" t="s">
        <v>34</v>
      </c>
      <c r="F1735" s="6"/>
    </row>
    <row r="1736" spans="1:6" ht="15.75" thickBot="1" x14ac:dyDescent="0.3">
      <c r="A1736" s="36"/>
      <c r="B1736" s="7" t="s">
        <v>36</v>
      </c>
      <c r="C1736" s="5">
        <v>1</v>
      </c>
      <c r="D1736" s="36"/>
      <c r="E1736" s="7" t="s">
        <v>37</v>
      </c>
      <c r="F1736" s="6"/>
    </row>
    <row r="1737" spans="1:6" ht="15.75" thickBot="1" x14ac:dyDescent="0.3">
      <c r="A1737" s="36"/>
      <c r="B1737" s="7" t="s">
        <v>39</v>
      </c>
      <c r="C1737" s="15">
        <v>45381</v>
      </c>
      <c r="D1737" s="36"/>
      <c r="E1737" s="7" t="s">
        <v>40</v>
      </c>
      <c r="F1737" s="6"/>
    </row>
    <row r="1738" spans="1:6" ht="15.75" thickBot="1" x14ac:dyDescent="0.3">
      <c r="A1738" s="36"/>
      <c r="B1738" s="7" t="s">
        <v>36</v>
      </c>
      <c r="C1738" s="5">
        <v>1</v>
      </c>
      <c r="D1738" s="36"/>
      <c r="E1738" s="7" t="s">
        <v>41</v>
      </c>
      <c r="F1738" s="6"/>
    </row>
    <row r="1739" spans="1:6" ht="15.75" thickBot="1" x14ac:dyDescent="0.3">
      <c r="A1739" s="2"/>
      <c r="B1739" s="2"/>
      <c r="C1739" s="2"/>
      <c r="D1739" s="2"/>
      <c r="E1739" s="2"/>
      <c r="F1739" s="2"/>
    </row>
    <row r="1740" spans="1:6" ht="15.75" thickBot="1" x14ac:dyDescent="0.3">
      <c r="A1740" s="12" t="s">
        <v>42</v>
      </c>
      <c r="B1740" s="12" t="s">
        <v>43</v>
      </c>
      <c r="C1740" s="12" t="s">
        <v>44</v>
      </c>
      <c r="D1740" s="12" t="s">
        <v>45</v>
      </c>
      <c r="E1740" s="12" t="s">
        <v>46</v>
      </c>
      <c r="F1740" s="12" t="s">
        <v>47</v>
      </c>
    </row>
    <row r="1741" spans="1:6" ht="22.5" x14ac:dyDescent="0.25">
      <c r="A1741" s="8">
        <v>45121504</v>
      </c>
      <c r="B1741" s="9" t="s">
        <v>474</v>
      </c>
      <c r="C1741" s="33" t="s">
        <v>55</v>
      </c>
      <c r="D1741" s="8">
        <v>2</v>
      </c>
      <c r="E1741" s="11">
        <v>400050.44</v>
      </c>
      <c r="F1741" s="10">
        <v>800100.88</v>
      </c>
    </row>
    <row r="1742" spans="1:6" ht="22.5" x14ac:dyDescent="0.25">
      <c r="A1742" s="8">
        <v>46171610</v>
      </c>
      <c r="B1742" s="9" t="s">
        <v>475</v>
      </c>
      <c r="C1742" s="33" t="s">
        <v>55</v>
      </c>
      <c r="D1742" s="8">
        <v>5</v>
      </c>
      <c r="E1742" s="11">
        <v>35000</v>
      </c>
      <c r="F1742" s="10">
        <v>175000</v>
      </c>
    </row>
    <row r="1743" spans="1:6" ht="45" x14ac:dyDescent="0.25">
      <c r="A1743" s="8">
        <v>45121516</v>
      </c>
      <c r="B1743" s="9" t="s">
        <v>476</v>
      </c>
      <c r="C1743" s="33" t="s">
        <v>55</v>
      </c>
      <c r="D1743" s="8">
        <v>20</v>
      </c>
      <c r="E1743" s="11">
        <v>22000</v>
      </c>
      <c r="F1743" s="10">
        <v>440000</v>
      </c>
    </row>
    <row r="1744" spans="1:6" ht="45" x14ac:dyDescent="0.25">
      <c r="A1744" s="8">
        <v>45121516</v>
      </c>
      <c r="B1744" s="9" t="s">
        <v>476</v>
      </c>
      <c r="C1744" s="33" t="s">
        <v>55</v>
      </c>
      <c r="D1744" s="8">
        <v>20</v>
      </c>
      <c r="E1744" s="11">
        <v>15000</v>
      </c>
      <c r="F1744" s="10">
        <v>300000</v>
      </c>
    </row>
    <row r="1745" spans="1:6" x14ac:dyDescent="0.25">
      <c r="A1745" s="2"/>
      <c r="B1745" s="2"/>
      <c r="C1745" s="2"/>
      <c r="D1745" s="2"/>
      <c r="E1745" s="13" t="s">
        <v>87</v>
      </c>
      <c r="F1745" s="14">
        <v>1715100.88</v>
      </c>
    </row>
    <row r="1746" spans="1:6" ht="15.75" thickBot="1" x14ac:dyDescent="0.3">
      <c r="A1746" s="1"/>
      <c r="B1746" s="1"/>
      <c r="C1746" s="1"/>
      <c r="D1746" s="1"/>
      <c r="E1746" s="1"/>
      <c r="F1746" s="1"/>
    </row>
    <row r="1747" spans="1:6" ht="34.5" thickBot="1" x14ac:dyDescent="0.3">
      <c r="A1747" s="4" t="s">
        <v>19</v>
      </c>
      <c r="B1747" s="4" t="s">
        <v>20</v>
      </c>
      <c r="C1747" s="4" t="s">
        <v>21</v>
      </c>
      <c r="D1747" s="4" t="s">
        <v>22</v>
      </c>
      <c r="E1747" s="4" t="s">
        <v>23</v>
      </c>
      <c r="F1747" s="4" t="s">
        <v>24</v>
      </c>
    </row>
    <row r="1748" spans="1:6" ht="15.75" thickBot="1" x14ac:dyDescent="0.3">
      <c r="A1748" s="32" t="s">
        <v>462</v>
      </c>
      <c r="B1748" s="32" t="s">
        <v>463</v>
      </c>
      <c r="C1748" s="6" t="s">
        <v>27</v>
      </c>
      <c r="D1748" s="6" t="s">
        <v>28</v>
      </c>
      <c r="E1748" s="6" t="s">
        <v>262</v>
      </c>
      <c r="F1748" s="6"/>
    </row>
    <row r="1749" spans="1:6" ht="15.75" thickBot="1" x14ac:dyDescent="0.3">
      <c r="A1749" s="35" t="s">
        <v>31</v>
      </c>
      <c r="B1749" s="7" t="s">
        <v>32</v>
      </c>
      <c r="C1749" s="15">
        <v>45323</v>
      </c>
      <c r="D1749" s="35" t="s">
        <v>33</v>
      </c>
      <c r="E1749" s="7" t="s">
        <v>34</v>
      </c>
      <c r="F1749" s="6"/>
    </row>
    <row r="1750" spans="1:6" ht="15.75" thickBot="1" x14ac:dyDescent="0.3">
      <c r="A1750" s="36"/>
      <c r="B1750" s="7" t="s">
        <v>36</v>
      </c>
      <c r="C1750" s="5">
        <v>1</v>
      </c>
      <c r="D1750" s="36"/>
      <c r="E1750" s="7" t="s">
        <v>37</v>
      </c>
      <c r="F1750" s="6"/>
    </row>
    <row r="1751" spans="1:6" ht="15.75" thickBot="1" x14ac:dyDescent="0.3">
      <c r="A1751" s="36"/>
      <c r="B1751" s="7" t="s">
        <v>39</v>
      </c>
      <c r="C1751" s="15">
        <v>45381</v>
      </c>
      <c r="D1751" s="36"/>
      <c r="E1751" s="7" t="s">
        <v>40</v>
      </c>
      <c r="F1751" s="6"/>
    </row>
    <row r="1752" spans="1:6" ht="15.75" thickBot="1" x14ac:dyDescent="0.3">
      <c r="A1752" s="36"/>
      <c r="B1752" s="7" t="s">
        <v>36</v>
      </c>
      <c r="C1752" s="5">
        <v>1</v>
      </c>
      <c r="D1752" s="36"/>
      <c r="E1752" s="7" t="s">
        <v>41</v>
      </c>
      <c r="F1752" s="6"/>
    </row>
    <row r="1753" spans="1:6" ht="15.75" thickBot="1" x14ac:dyDescent="0.3">
      <c r="A1753" s="2"/>
      <c r="B1753" s="2"/>
      <c r="C1753" s="2"/>
      <c r="D1753" s="2"/>
      <c r="E1753" s="2"/>
      <c r="F1753" s="2"/>
    </row>
    <row r="1754" spans="1:6" ht="15.75" thickBot="1" x14ac:dyDescent="0.3">
      <c r="A1754" s="12" t="s">
        <v>42</v>
      </c>
      <c r="B1754" s="12" t="s">
        <v>43</v>
      </c>
      <c r="C1754" s="12" t="s">
        <v>44</v>
      </c>
      <c r="D1754" s="12" t="s">
        <v>45</v>
      </c>
      <c r="E1754" s="12" t="s">
        <v>46</v>
      </c>
      <c r="F1754" s="12" t="s">
        <v>47</v>
      </c>
    </row>
    <row r="1755" spans="1:6" ht="45" x14ac:dyDescent="0.25">
      <c r="A1755" s="8">
        <v>50161509</v>
      </c>
      <c r="B1755" s="9" t="s">
        <v>173</v>
      </c>
      <c r="C1755" s="8" t="s">
        <v>74</v>
      </c>
      <c r="D1755" s="8">
        <v>500</v>
      </c>
      <c r="E1755" s="11">
        <v>83.78</v>
      </c>
      <c r="F1755" s="10">
        <v>41890</v>
      </c>
    </row>
    <row r="1756" spans="1:6" ht="22.5" x14ac:dyDescent="0.25">
      <c r="A1756" s="8">
        <v>50221101</v>
      </c>
      <c r="B1756" s="9" t="s">
        <v>464</v>
      </c>
      <c r="C1756" s="33" t="s">
        <v>74</v>
      </c>
      <c r="D1756" s="8">
        <v>500</v>
      </c>
      <c r="E1756" s="11">
        <v>231.38</v>
      </c>
      <c r="F1756" s="10">
        <v>115690</v>
      </c>
    </row>
    <row r="1757" spans="1:6" ht="45" x14ac:dyDescent="0.25">
      <c r="A1757" s="8">
        <v>50151513</v>
      </c>
      <c r="B1757" s="9" t="s">
        <v>465</v>
      </c>
      <c r="C1757" s="33" t="s">
        <v>55</v>
      </c>
      <c r="D1757" s="8">
        <v>500</v>
      </c>
      <c r="E1757" s="11">
        <v>132.16</v>
      </c>
      <c r="F1757" s="10">
        <v>66080</v>
      </c>
    </row>
    <row r="1758" spans="1:6" ht="22.5" x14ac:dyDescent="0.25">
      <c r="A1758" s="8">
        <v>50192111</v>
      </c>
      <c r="B1758" s="9" t="s">
        <v>466</v>
      </c>
      <c r="C1758" s="33" t="s">
        <v>55</v>
      </c>
      <c r="D1758" s="8">
        <v>500</v>
      </c>
      <c r="E1758" s="11">
        <v>619.5</v>
      </c>
      <c r="F1758" s="10">
        <v>309750</v>
      </c>
    </row>
    <row r="1759" spans="1:6" x14ac:dyDescent="0.25">
      <c r="A1759" s="8">
        <v>50201706</v>
      </c>
      <c r="B1759" s="9" t="s">
        <v>168</v>
      </c>
      <c r="C1759" s="33" t="s">
        <v>74</v>
      </c>
      <c r="D1759" s="8">
        <v>500</v>
      </c>
      <c r="E1759" s="11">
        <v>188.8</v>
      </c>
      <c r="F1759" s="10">
        <v>94400</v>
      </c>
    </row>
    <row r="1760" spans="1:6" ht="22.5" x14ac:dyDescent="0.25">
      <c r="A1760" s="8">
        <v>50171831</v>
      </c>
      <c r="B1760" s="9" t="s">
        <v>467</v>
      </c>
      <c r="C1760" s="33" t="s">
        <v>55</v>
      </c>
      <c r="D1760" s="8">
        <v>500</v>
      </c>
      <c r="E1760" s="11">
        <v>105.2</v>
      </c>
      <c r="F1760" s="10">
        <v>52600</v>
      </c>
    </row>
    <row r="1761" spans="1:6" ht="33.75" x14ac:dyDescent="0.25">
      <c r="A1761" s="8">
        <v>50121538</v>
      </c>
      <c r="B1761" s="9" t="s">
        <v>468</v>
      </c>
      <c r="C1761" s="33" t="s">
        <v>55</v>
      </c>
      <c r="D1761" s="8">
        <v>500</v>
      </c>
      <c r="E1761" s="11">
        <v>142.78</v>
      </c>
      <c r="F1761" s="10">
        <v>71390</v>
      </c>
    </row>
    <row r="1762" spans="1:6" ht="22.5" x14ac:dyDescent="0.25">
      <c r="A1762" s="8">
        <v>50192902</v>
      </c>
      <c r="B1762" s="9" t="s">
        <v>469</v>
      </c>
      <c r="C1762" s="33" t="s">
        <v>55</v>
      </c>
      <c r="D1762" s="8">
        <v>500</v>
      </c>
      <c r="E1762" s="11">
        <v>48.38</v>
      </c>
      <c r="F1762" s="10">
        <v>24190</v>
      </c>
    </row>
    <row r="1763" spans="1:6" x14ac:dyDescent="0.25">
      <c r="A1763" s="8">
        <v>50101543</v>
      </c>
      <c r="B1763" s="9" t="s">
        <v>470</v>
      </c>
      <c r="C1763" s="33" t="s">
        <v>55</v>
      </c>
      <c r="D1763" s="8">
        <v>500</v>
      </c>
      <c r="E1763" s="11">
        <v>178.18</v>
      </c>
      <c r="F1763" s="10">
        <v>89090</v>
      </c>
    </row>
    <row r="1764" spans="1:6" ht="45" x14ac:dyDescent="0.25">
      <c r="A1764" s="8">
        <v>50131701</v>
      </c>
      <c r="B1764" s="9" t="s">
        <v>171</v>
      </c>
      <c r="C1764" s="33" t="s">
        <v>55</v>
      </c>
      <c r="D1764" s="8">
        <v>500</v>
      </c>
      <c r="E1764" s="11">
        <v>384.68</v>
      </c>
      <c r="F1764" s="10">
        <v>192340</v>
      </c>
    </row>
    <row r="1765" spans="1:6" ht="33.75" x14ac:dyDescent="0.25">
      <c r="A1765" s="8">
        <v>50121538</v>
      </c>
      <c r="B1765" s="9" t="s">
        <v>468</v>
      </c>
      <c r="C1765" s="33" t="s">
        <v>55</v>
      </c>
      <c r="D1765" s="8">
        <v>500</v>
      </c>
      <c r="E1765" s="11">
        <v>148.68</v>
      </c>
      <c r="F1765" s="10">
        <v>74340</v>
      </c>
    </row>
    <row r="1766" spans="1:6" x14ac:dyDescent="0.25">
      <c r="A1766" s="8">
        <v>50101542</v>
      </c>
      <c r="B1766" s="9" t="s">
        <v>471</v>
      </c>
      <c r="C1766" s="33" t="s">
        <v>55</v>
      </c>
      <c r="D1766" s="8">
        <v>500</v>
      </c>
      <c r="E1766" s="11">
        <v>34.22</v>
      </c>
      <c r="F1766" s="10">
        <v>17110</v>
      </c>
    </row>
    <row r="1767" spans="1:6" ht="33.75" x14ac:dyDescent="0.25">
      <c r="A1767" s="8">
        <v>50161511</v>
      </c>
      <c r="B1767" s="9" t="s">
        <v>169</v>
      </c>
      <c r="C1767" s="33" t="s">
        <v>55</v>
      </c>
      <c r="D1767" s="8">
        <v>500</v>
      </c>
      <c r="E1767" s="11">
        <v>112.1</v>
      </c>
      <c r="F1767" s="10">
        <v>56050</v>
      </c>
    </row>
    <row r="1768" spans="1:6" ht="22.5" x14ac:dyDescent="0.25">
      <c r="A1768" s="8">
        <v>50221101</v>
      </c>
      <c r="B1768" s="9" t="s">
        <v>464</v>
      </c>
      <c r="C1768" s="33" t="s">
        <v>55</v>
      </c>
      <c r="D1768" s="8">
        <v>500</v>
      </c>
      <c r="E1768" s="11">
        <v>113.28</v>
      </c>
      <c r="F1768" s="10">
        <v>56640</v>
      </c>
    </row>
    <row r="1769" spans="1:6" x14ac:dyDescent="0.25">
      <c r="A1769" s="2"/>
      <c r="B1769" s="2"/>
      <c r="C1769" s="2"/>
      <c r="D1769" s="2"/>
      <c r="E1769" s="13" t="s">
        <v>87</v>
      </c>
      <c r="F1769" s="14">
        <v>1261560</v>
      </c>
    </row>
    <row r="1770" spans="1:6" ht="15.75" thickBot="1" x14ac:dyDescent="0.3">
      <c r="A1770" s="1"/>
      <c r="B1770" s="1"/>
      <c r="C1770" s="1"/>
      <c r="D1770" s="1"/>
      <c r="E1770" s="1"/>
      <c r="F1770" s="1"/>
    </row>
    <row r="1771" spans="1:6" ht="34.5" thickBot="1" x14ac:dyDescent="0.3">
      <c r="A1771" s="4" t="s">
        <v>19</v>
      </c>
      <c r="B1771" s="4" t="s">
        <v>20</v>
      </c>
      <c r="C1771" s="4" t="s">
        <v>21</v>
      </c>
      <c r="D1771" s="4" t="s">
        <v>22</v>
      </c>
      <c r="E1771" s="4" t="s">
        <v>23</v>
      </c>
      <c r="F1771" s="4" t="s">
        <v>24</v>
      </c>
    </row>
    <row r="1772" spans="1:6" ht="15.75" thickBot="1" x14ac:dyDescent="0.3">
      <c r="A1772" s="32" t="s">
        <v>477</v>
      </c>
      <c r="B1772" s="32" t="s">
        <v>478</v>
      </c>
      <c r="C1772" s="32" t="s">
        <v>27</v>
      </c>
      <c r="D1772" s="6" t="s">
        <v>28</v>
      </c>
      <c r="E1772" s="6" t="s">
        <v>262</v>
      </c>
      <c r="F1772" s="6"/>
    </row>
    <row r="1773" spans="1:6" ht="15.75" thickBot="1" x14ac:dyDescent="0.3">
      <c r="A1773" s="35" t="s">
        <v>31</v>
      </c>
      <c r="B1773" s="7" t="s">
        <v>32</v>
      </c>
      <c r="C1773" s="15">
        <v>45323</v>
      </c>
      <c r="D1773" s="35" t="s">
        <v>33</v>
      </c>
      <c r="E1773" s="7" t="s">
        <v>34</v>
      </c>
      <c r="F1773" s="6"/>
    </row>
    <row r="1774" spans="1:6" ht="15.75" thickBot="1" x14ac:dyDescent="0.3">
      <c r="A1774" s="36"/>
      <c r="B1774" s="7" t="s">
        <v>36</v>
      </c>
      <c r="C1774" s="5">
        <v>1</v>
      </c>
      <c r="D1774" s="36"/>
      <c r="E1774" s="7" t="s">
        <v>37</v>
      </c>
      <c r="F1774" s="6"/>
    </row>
    <row r="1775" spans="1:6" ht="15.75" thickBot="1" x14ac:dyDescent="0.3">
      <c r="A1775" s="36"/>
      <c r="B1775" s="7" t="s">
        <v>39</v>
      </c>
      <c r="C1775" s="15">
        <v>45381</v>
      </c>
      <c r="D1775" s="36"/>
      <c r="E1775" s="7" t="s">
        <v>40</v>
      </c>
      <c r="F1775" s="6"/>
    </row>
    <row r="1776" spans="1:6" ht="15.75" thickBot="1" x14ac:dyDescent="0.3">
      <c r="A1776" s="36"/>
      <c r="B1776" s="7" t="s">
        <v>36</v>
      </c>
      <c r="C1776" s="5">
        <v>1</v>
      </c>
      <c r="D1776" s="36"/>
      <c r="E1776" s="7" t="s">
        <v>41</v>
      </c>
      <c r="F1776" s="6"/>
    </row>
    <row r="1777" spans="1:6" ht="15.75" thickBot="1" x14ac:dyDescent="0.3">
      <c r="A1777" s="2"/>
      <c r="B1777" s="2"/>
      <c r="C1777" s="2"/>
      <c r="D1777" s="2"/>
      <c r="E1777" s="2"/>
      <c r="F1777" s="2"/>
    </row>
    <row r="1778" spans="1:6" ht="15.75" thickBot="1" x14ac:dyDescent="0.3">
      <c r="A1778" s="12" t="s">
        <v>42</v>
      </c>
      <c r="B1778" s="12" t="s">
        <v>43</v>
      </c>
      <c r="C1778" s="12" t="s">
        <v>44</v>
      </c>
      <c r="D1778" s="12" t="s">
        <v>45</v>
      </c>
      <c r="E1778" s="12" t="s">
        <v>46</v>
      </c>
      <c r="F1778" s="12" t="s">
        <v>47</v>
      </c>
    </row>
    <row r="1779" spans="1:6" ht="45" x14ac:dyDescent="0.25">
      <c r="A1779" s="8">
        <v>52161518</v>
      </c>
      <c r="B1779" s="9" t="s">
        <v>479</v>
      </c>
      <c r="C1779" s="33" t="s">
        <v>55</v>
      </c>
      <c r="D1779" s="8">
        <v>30</v>
      </c>
      <c r="E1779" s="11">
        <v>16000</v>
      </c>
      <c r="F1779" s="10">
        <v>480000</v>
      </c>
    </row>
    <row r="1780" spans="1:6" ht="33.75" x14ac:dyDescent="0.25">
      <c r="A1780" s="8">
        <v>46171621</v>
      </c>
      <c r="B1780" s="9" t="s">
        <v>480</v>
      </c>
      <c r="C1780" s="33" t="s">
        <v>55</v>
      </c>
      <c r="D1780" s="8">
        <v>20</v>
      </c>
      <c r="E1780" s="11">
        <v>32000</v>
      </c>
      <c r="F1780" s="10">
        <v>640000</v>
      </c>
    </row>
    <row r="1781" spans="1:6" x14ac:dyDescent="0.25">
      <c r="A1781" s="2"/>
      <c r="B1781" s="2"/>
      <c r="C1781" s="2"/>
      <c r="D1781" s="2"/>
      <c r="E1781" s="13" t="s">
        <v>87</v>
      </c>
      <c r="F1781" s="14">
        <v>1120000</v>
      </c>
    </row>
    <row r="1782" spans="1:6" ht="15.75" thickBot="1" x14ac:dyDescent="0.3">
      <c r="A1782" s="1"/>
      <c r="B1782" s="1"/>
      <c r="C1782" s="1"/>
      <c r="D1782" s="1"/>
      <c r="E1782" s="1"/>
      <c r="F1782" s="1"/>
    </row>
    <row r="1783" spans="1:6" ht="34.5" thickBot="1" x14ac:dyDescent="0.3">
      <c r="A1783" s="4" t="s">
        <v>19</v>
      </c>
      <c r="B1783" s="4" t="s">
        <v>20</v>
      </c>
      <c r="C1783" s="4" t="s">
        <v>21</v>
      </c>
      <c r="D1783" s="4" t="s">
        <v>22</v>
      </c>
      <c r="E1783" s="4" t="s">
        <v>23</v>
      </c>
      <c r="F1783" s="4" t="s">
        <v>24</v>
      </c>
    </row>
    <row r="1784" spans="1:6" ht="15.75" thickBot="1" x14ac:dyDescent="0.3">
      <c r="A1784" s="32" t="s">
        <v>462</v>
      </c>
      <c r="B1784" s="32" t="s">
        <v>463</v>
      </c>
      <c r="C1784" s="32" t="s">
        <v>27</v>
      </c>
      <c r="D1784" s="6" t="s">
        <v>28</v>
      </c>
      <c r="E1784" s="6" t="s">
        <v>262</v>
      </c>
      <c r="F1784" s="6"/>
    </row>
    <row r="1785" spans="1:6" ht="15.75" thickBot="1" x14ac:dyDescent="0.3">
      <c r="A1785" s="35" t="s">
        <v>31</v>
      </c>
      <c r="B1785" s="7" t="s">
        <v>32</v>
      </c>
      <c r="C1785" s="15">
        <v>45323</v>
      </c>
      <c r="D1785" s="35" t="s">
        <v>33</v>
      </c>
      <c r="E1785" s="7" t="s">
        <v>34</v>
      </c>
      <c r="F1785" s="6"/>
    </row>
    <row r="1786" spans="1:6" ht="15.75" thickBot="1" x14ac:dyDescent="0.3">
      <c r="A1786" s="36"/>
      <c r="B1786" s="7" t="s">
        <v>36</v>
      </c>
      <c r="C1786" s="5">
        <v>1</v>
      </c>
      <c r="D1786" s="36"/>
      <c r="E1786" s="7" t="s">
        <v>37</v>
      </c>
      <c r="F1786" s="6"/>
    </row>
    <row r="1787" spans="1:6" ht="15.75" thickBot="1" x14ac:dyDescent="0.3">
      <c r="A1787" s="36"/>
      <c r="B1787" s="7" t="s">
        <v>39</v>
      </c>
      <c r="C1787" s="15">
        <v>45381</v>
      </c>
      <c r="D1787" s="36"/>
      <c r="E1787" s="7" t="s">
        <v>40</v>
      </c>
      <c r="F1787" s="6"/>
    </row>
    <row r="1788" spans="1:6" ht="15.75" thickBot="1" x14ac:dyDescent="0.3">
      <c r="A1788" s="36"/>
      <c r="B1788" s="7" t="s">
        <v>36</v>
      </c>
      <c r="C1788" s="5">
        <v>1</v>
      </c>
      <c r="D1788" s="36"/>
      <c r="E1788" s="7" t="s">
        <v>41</v>
      </c>
      <c r="F1788" s="6"/>
    </row>
    <row r="1789" spans="1:6" ht="15.75" thickBot="1" x14ac:dyDescent="0.3">
      <c r="A1789" s="2"/>
      <c r="B1789" s="2"/>
      <c r="C1789" s="2"/>
      <c r="D1789" s="2"/>
      <c r="E1789" s="2"/>
      <c r="F1789" s="2"/>
    </row>
    <row r="1790" spans="1:6" ht="15.75" thickBot="1" x14ac:dyDescent="0.3">
      <c r="A1790" s="12" t="s">
        <v>42</v>
      </c>
      <c r="B1790" s="12" t="s">
        <v>43</v>
      </c>
      <c r="C1790" s="12" t="s">
        <v>44</v>
      </c>
      <c r="D1790" s="12" t="s">
        <v>45</v>
      </c>
      <c r="E1790" s="12" t="s">
        <v>46</v>
      </c>
      <c r="F1790" s="12" t="s">
        <v>47</v>
      </c>
    </row>
    <row r="1791" spans="1:6" ht="45" x14ac:dyDescent="0.25">
      <c r="A1791" s="8">
        <v>50161509</v>
      </c>
      <c r="B1791" s="9" t="s">
        <v>173</v>
      </c>
      <c r="C1791" s="8" t="s">
        <v>74</v>
      </c>
      <c r="D1791" s="8">
        <v>500</v>
      </c>
      <c r="E1791" s="11">
        <v>83.78</v>
      </c>
      <c r="F1791" s="10">
        <v>41890</v>
      </c>
    </row>
    <row r="1792" spans="1:6" ht="22.5" x14ac:dyDescent="0.25">
      <c r="A1792" s="8">
        <v>50221101</v>
      </c>
      <c r="B1792" s="9" t="s">
        <v>464</v>
      </c>
      <c r="C1792" s="33" t="s">
        <v>74</v>
      </c>
      <c r="D1792" s="8">
        <v>500</v>
      </c>
      <c r="E1792" s="11">
        <v>231.38</v>
      </c>
      <c r="F1792" s="10">
        <v>115690</v>
      </c>
    </row>
    <row r="1793" spans="1:6" ht="45" x14ac:dyDescent="0.25">
      <c r="A1793" s="8">
        <v>50151513</v>
      </c>
      <c r="B1793" s="9" t="s">
        <v>465</v>
      </c>
      <c r="C1793" s="33" t="s">
        <v>55</v>
      </c>
      <c r="D1793" s="8">
        <v>500</v>
      </c>
      <c r="E1793" s="11">
        <v>132.16</v>
      </c>
      <c r="F1793" s="10">
        <v>66080</v>
      </c>
    </row>
    <row r="1794" spans="1:6" ht="22.5" x14ac:dyDescent="0.25">
      <c r="A1794" s="8">
        <v>50192111</v>
      </c>
      <c r="B1794" s="9" t="s">
        <v>466</v>
      </c>
      <c r="C1794" s="33" t="s">
        <v>55</v>
      </c>
      <c r="D1794" s="8">
        <v>500</v>
      </c>
      <c r="E1794" s="11">
        <v>619.5</v>
      </c>
      <c r="F1794" s="10">
        <v>309750</v>
      </c>
    </row>
    <row r="1795" spans="1:6" x14ac:dyDescent="0.25">
      <c r="A1795" s="8">
        <v>50201706</v>
      </c>
      <c r="B1795" s="9" t="s">
        <v>168</v>
      </c>
      <c r="C1795" s="33" t="s">
        <v>74</v>
      </c>
      <c r="D1795" s="8">
        <v>500</v>
      </c>
      <c r="E1795" s="11">
        <v>188.8</v>
      </c>
      <c r="F1795" s="10">
        <v>94400</v>
      </c>
    </row>
    <row r="1796" spans="1:6" ht="22.5" x14ac:dyDescent="0.25">
      <c r="A1796" s="8">
        <v>50171831</v>
      </c>
      <c r="B1796" s="9" t="s">
        <v>467</v>
      </c>
      <c r="C1796" s="33" t="s">
        <v>55</v>
      </c>
      <c r="D1796" s="8">
        <v>500</v>
      </c>
      <c r="E1796" s="11">
        <v>105.2</v>
      </c>
      <c r="F1796" s="10">
        <v>52600</v>
      </c>
    </row>
    <row r="1797" spans="1:6" ht="33.75" x14ac:dyDescent="0.25">
      <c r="A1797" s="8">
        <v>50121538</v>
      </c>
      <c r="B1797" s="9" t="s">
        <v>468</v>
      </c>
      <c r="C1797" s="33" t="s">
        <v>55</v>
      </c>
      <c r="D1797" s="8">
        <v>500</v>
      </c>
      <c r="E1797" s="11">
        <v>142.78</v>
      </c>
      <c r="F1797" s="10">
        <v>71390</v>
      </c>
    </row>
    <row r="1798" spans="1:6" ht="22.5" x14ac:dyDescent="0.25">
      <c r="A1798" s="8">
        <v>50192902</v>
      </c>
      <c r="B1798" s="9" t="s">
        <v>469</v>
      </c>
      <c r="C1798" s="33" t="s">
        <v>55</v>
      </c>
      <c r="D1798" s="8">
        <v>500</v>
      </c>
      <c r="E1798" s="11">
        <v>48.38</v>
      </c>
      <c r="F1798" s="10">
        <v>24190</v>
      </c>
    </row>
    <row r="1799" spans="1:6" x14ac:dyDescent="0.25">
      <c r="A1799" s="8">
        <v>50101543</v>
      </c>
      <c r="B1799" s="9" t="s">
        <v>470</v>
      </c>
      <c r="C1799" s="33" t="s">
        <v>55</v>
      </c>
      <c r="D1799" s="8">
        <v>500</v>
      </c>
      <c r="E1799" s="11">
        <v>178.18</v>
      </c>
      <c r="F1799" s="10">
        <v>89090</v>
      </c>
    </row>
    <row r="1800" spans="1:6" ht="45" x14ac:dyDescent="0.25">
      <c r="A1800" s="8">
        <v>50131701</v>
      </c>
      <c r="B1800" s="9" t="s">
        <v>171</v>
      </c>
      <c r="C1800" s="33" t="s">
        <v>55</v>
      </c>
      <c r="D1800" s="8">
        <v>500</v>
      </c>
      <c r="E1800" s="11">
        <v>384.68</v>
      </c>
      <c r="F1800" s="10">
        <v>192340</v>
      </c>
    </row>
    <row r="1801" spans="1:6" ht="33.75" x14ac:dyDescent="0.25">
      <c r="A1801" s="8">
        <v>50121538</v>
      </c>
      <c r="B1801" s="9" t="s">
        <v>468</v>
      </c>
      <c r="C1801" s="33" t="s">
        <v>55</v>
      </c>
      <c r="D1801" s="8">
        <v>500</v>
      </c>
      <c r="E1801" s="11">
        <v>148.68</v>
      </c>
      <c r="F1801" s="10">
        <v>74340</v>
      </c>
    </row>
    <row r="1802" spans="1:6" x14ac:dyDescent="0.25">
      <c r="A1802" s="8">
        <v>50101542</v>
      </c>
      <c r="B1802" s="9" t="s">
        <v>471</v>
      </c>
      <c r="C1802" s="33" t="s">
        <v>55</v>
      </c>
      <c r="D1802" s="8">
        <v>500</v>
      </c>
      <c r="E1802" s="11">
        <v>34.22</v>
      </c>
      <c r="F1802" s="10">
        <v>17110</v>
      </c>
    </row>
    <row r="1803" spans="1:6" ht="33.75" x14ac:dyDescent="0.25">
      <c r="A1803" s="8">
        <v>50161511</v>
      </c>
      <c r="B1803" s="9" t="s">
        <v>169</v>
      </c>
      <c r="C1803" s="33" t="s">
        <v>55</v>
      </c>
      <c r="D1803" s="8">
        <v>500</v>
      </c>
      <c r="E1803" s="11">
        <v>112.1</v>
      </c>
      <c r="F1803" s="10">
        <v>56050</v>
      </c>
    </row>
    <row r="1804" spans="1:6" ht="22.5" x14ac:dyDescent="0.25">
      <c r="A1804" s="8">
        <v>50221101</v>
      </c>
      <c r="B1804" s="9" t="s">
        <v>464</v>
      </c>
      <c r="C1804" s="33" t="s">
        <v>55</v>
      </c>
      <c r="D1804" s="8">
        <v>500</v>
      </c>
      <c r="E1804" s="11">
        <v>113.28</v>
      </c>
      <c r="F1804" s="10">
        <v>56640</v>
      </c>
    </row>
    <row r="1805" spans="1:6" x14ac:dyDescent="0.25">
      <c r="A1805" s="2"/>
      <c r="B1805" s="2"/>
      <c r="C1805" s="2"/>
      <c r="D1805" s="2"/>
      <c r="E1805" s="13" t="s">
        <v>87</v>
      </c>
      <c r="F1805" s="14">
        <v>1261560</v>
      </c>
    </row>
    <row r="1806" spans="1:6" ht="15.75" thickBot="1" x14ac:dyDescent="0.3">
      <c r="A1806" s="1"/>
      <c r="B1806" s="1"/>
      <c r="C1806" s="1"/>
      <c r="D1806" s="1"/>
      <c r="E1806" s="1"/>
      <c r="F1806" s="1"/>
    </row>
    <row r="1807" spans="1:6" ht="34.5" thickBot="1" x14ac:dyDescent="0.3">
      <c r="A1807" s="4" t="s">
        <v>19</v>
      </c>
      <c r="B1807" s="4" t="s">
        <v>20</v>
      </c>
      <c r="C1807" s="4" t="s">
        <v>21</v>
      </c>
      <c r="D1807" s="4" t="s">
        <v>22</v>
      </c>
      <c r="E1807" s="4" t="s">
        <v>23</v>
      </c>
      <c r="F1807" s="4" t="s">
        <v>24</v>
      </c>
    </row>
    <row r="1808" spans="1:6" ht="15.75" thickBot="1" x14ac:dyDescent="0.3">
      <c r="A1808" s="32" t="s">
        <v>481</v>
      </c>
      <c r="B1808" s="32" t="s">
        <v>482</v>
      </c>
      <c r="C1808" s="32" t="s">
        <v>27</v>
      </c>
      <c r="D1808" s="6" t="s">
        <v>28</v>
      </c>
      <c r="E1808" s="6" t="s">
        <v>262</v>
      </c>
      <c r="F1808" s="6"/>
    </row>
    <row r="1809" spans="1:6" ht="15.75" thickBot="1" x14ac:dyDescent="0.3">
      <c r="A1809" s="35" t="s">
        <v>31</v>
      </c>
      <c r="B1809" s="7" t="s">
        <v>32</v>
      </c>
      <c r="C1809" s="15">
        <v>45323</v>
      </c>
      <c r="D1809" s="35" t="s">
        <v>33</v>
      </c>
      <c r="E1809" s="7" t="s">
        <v>34</v>
      </c>
      <c r="F1809" s="6"/>
    </row>
    <row r="1810" spans="1:6" ht="15.75" thickBot="1" x14ac:dyDescent="0.3">
      <c r="A1810" s="36"/>
      <c r="B1810" s="7" t="s">
        <v>36</v>
      </c>
      <c r="C1810" s="5">
        <v>1</v>
      </c>
      <c r="D1810" s="36"/>
      <c r="E1810" s="7" t="s">
        <v>37</v>
      </c>
      <c r="F1810" s="6"/>
    </row>
    <row r="1811" spans="1:6" ht="15.75" thickBot="1" x14ac:dyDescent="0.3">
      <c r="A1811" s="36"/>
      <c r="B1811" s="7" t="s">
        <v>39</v>
      </c>
      <c r="C1811" s="15">
        <v>45381</v>
      </c>
      <c r="D1811" s="36"/>
      <c r="E1811" s="7" t="s">
        <v>40</v>
      </c>
      <c r="F1811" s="6"/>
    </row>
    <row r="1812" spans="1:6" ht="15.75" thickBot="1" x14ac:dyDescent="0.3">
      <c r="A1812" s="36"/>
      <c r="B1812" s="7" t="s">
        <v>36</v>
      </c>
      <c r="C1812" s="5">
        <v>1</v>
      </c>
      <c r="D1812" s="36"/>
      <c r="E1812" s="7" t="s">
        <v>41</v>
      </c>
      <c r="F1812" s="6"/>
    </row>
    <row r="1813" spans="1:6" ht="15.75" thickBot="1" x14ac:dyDescent="0.3">
      <c r="A1813" s="2"/>
      <c r="B1813" s="2"/>
      <c r="C1813" s="2"/>
      <c r="D1813" s="2"/>
      <c r="E1813" s="2"/>
      <c r="F1813" s="2"/>
    </row>
    <row r="1814" spans="1:6" ht="15.75" thickBot="1" x14ac:dyDescent="0.3">
      <c r="A1814" s="12" t="s">
        <v>42</v>
      </c>
      <c r="B1814" s="12" t="s">
        <v>43</v>
      </c>
      <c r="C1814" s="12" t="s">
        <v>44</v>
      </c>
      <c r="D1814" s="12" t="s">
        <v>45</v>
      </c>
      <c r="E1814" s="12" t="s">
        <v>46</v>
      </c>
      <c r="F1814" s="12" t="s">
        <v>47</v>
      </c>
    </row>
    <row r="1815" spans="1:6" ht="22.5" x14ac:dyDescent="0.25">
      <c r="A1815" s="8">
        <v>31231201</v>
      </c>
      <c r="B1815" s="9" t="s">
        <v>483</v>
      </c>
      <c r="C1815" s="8" t="s">
        <v>55</v>
      </c>
      <c r="D1815" s="8">
        <v>120</v>
      </c>
      <c r="E1815" s="11">
        <v>383.33</v>
      </c>
      <c r="F1815" s="10">
        <v>45999.6</v>
      </c>
    </row>
    <row r="1816" spans="1:6" ht="22.5" x14ac:dyDescent="0.25">
      <c r="A1816" s="8">
        <v>31231201</v>
      </c>
      <c r="B1816" s="9" t="s">
        <v>483</v>
      </c>
      <c r="C1816" s="33" t="s">
        <v>55</v>
      </c>
      <c r="D1816" s="8">
        <v>70</v>
      </c>
      <c r="E1816" s="11">
        <v>414.28</v>
      </c>
      <c r="F1816" s="10">
        <v>28999.599999999999</v>
      </c>
    </row>
    <row r="1817" spans="1:6" x14ac:dyDescent="0.25">
      <c r="A1817" s="8">
        <v>39111521</v>
      </c>
      <c r="B1817" s="9" t="s">
        <v>484</v>
      </c>
      <c r="C1817" s="33" t="s">
        <v>55</v>
      </c>
      <c r="D1817" s="8">
        <v>120</v>
      </c>
      <c r="E1817" s="11">
        <v>1900</v>
      </c>
      <c r="F1817" s="10">
        <v>228000</v>
      </c>
    </row>
    <row r="1818" spans="1:6" x14ac:dyDescent="0.25">
      <c r="A1818" s="8">
        <v>31201605</v>
      </c>
      <c r="B1818" s="9" t="s">
        <v>485</v>
      </c>
      <c r="C1818" s="33" t="s">
        <v>55</v>
      </c>
      <c r="D1818" s="8">
        <v>15</v>
      </c>
      <c r="E1818" s="11">
        <v>3300</v>
      </c>
      <c r="F1818" s="10">
        <v>49500</v>
      </c>
    </row>
    <row r="1819" spans="1:6" ht="22.5" x14ac:dyDescent="0.25">
      <c r="A1819" s="8">
        <v>31201511</v>
      </c>
      <c r="B1819" s="9" t="s">
        <v>486</v>
      </c>
      <c r="C1819" s="33" t="s">
        <v>55</v>
      </c>
      <c r="D1819" s="8">
        <v>10</v>
      </c>
      <c r="E1819" s="11">
        <v>910</v>
      </c>
      <c r="F1819" s="10">
        <v>9100</v>
      </c>
    </row>
    <row r="1820" spans="1:6" ht="22.5" x14ac:dyDescent="0.25">
      <c r="A1820" s="8">
        <v>31161507</v>
      </c>
      <c r="B1820" s="9" t="s">
        <v>487</v>
      </c>
      <c r="C1820" s="33" t="s">
        <v>55</v>
      </c>
      <c r="D1820" s="8">
        <v>10</v>
      </c>
      <c r="E1820" s="11">
        <v>700</v>
      </c>
      <c r="F1820" s="10">
        <v>7000</v>
      </c>
    </row>
    <row r="1821" spans="1:6" ht="22.5" x14ac:dyDescent="0.25">
      <c r="A1821" s="8">
        <v>31161507</v>
      </c>
      <c r="B1821" s="9" t="s">
        <v>487</v>
      </c>
      <c r="C1821" s="33" t="s">
        <v>55</v>
      </c>
      <c r="D1821" s="8">
        <v>30</v>
      </c>
      <c r="E1821" s="11">
        <v>600</v>
      </c>
      <c r="F1821" s="10">
        <v>18000</v>
      </c>
    </row>
    <row r="1822" spans="1:6" x14ac:dyDescent="0.25">
      <c r="A1822" s="8">
        <v>27111909</v>
      </c>
      <c r="B1822" s="9" t="s">
        <v>488</v>
      </c>
      <c r="C1822" s="33" t="s">
        <v>55</v>
      </c>
      <c r="D1822" s="8">
        <v>2</v>
      </c>
      <c r="E1822" s="11">
        <v>650</v>
      </c>
      <c r="F1822" s="10">
        <v>1300</v>
      </c>
    </row>
    <row r="1823" spans="1:6" x14ac:dyDescent="0.25">
      <c r="A1823" s="2"/>
      <c r="B1823" s="2"/>
      <c r="C1823" s="2"/>
      <c r="D1823" s="2"/>
      <c r="E1823" s="13" t="s">
        <v>87</v>
      </c>
      <c r="F1823" s="14">
        <v>387899.2</v>
      </c>
    </row>
    <row r="1824" spans="1:6" ht="15.75" thickBot="1" x14ac:dyDescent="0.3">
      <c r="A1824" s="1"/>
      <c r="B1824" s="1"/>
      <c r="C1824" s="1"/>
      <c r="D1824" s="1"/>
      <c r="E1824" s="1"/>
      <c r="F1824" s="1"/>
    </row>
    <row r="1825" spans="1:6" ht="34.5" thickBot="1" x14ac:dyDescent="0.3">
      <c r="A1825" s="4" t="s">
        <v>19</v>
      </c>
      <c r="B1825" s="4" t="s">
        <v>20</v>
      </c>
      <c r="C1825" s="4" t="s">
        <v>21</v>
      </c>
      <c r="D1825" s="4" t="s">
        <v>22</v>
      </c>
      <c r="E1825" s="4" t="s">
        <v>23</v>
      </c>
      <c r="F1825" s="4" t="s">
        <v>24</v>
      </c>
    </row>
    <row r="1826" spans="1:6" ht="15.75" thickBot="1" x14ac:dyDescent="0.3">
      <c r="A1826" s="32" t="s">
        <v>462</v>
      </c>
      <c r="B1826" s="32" t="s">
        <v>463</v>
      </c>
      <c r="C1826" s="32" t="s">
        <v>27</v>
      </c>
      <c r="D1826" s="6" t="s">
        <v>28</v>
      </c>
      <c r="E1826" s="6" t="s">
        <v>262</v>
      </c>
      <c r="F1826" s="6"/>
    </row>
    <row r="1827" spans="1:6" ht="15.75" thickBot="1" x14ac:dyDescent="0.3">
      <c r="A1827" s="35" t="s">
        <v>31</v>
      </c>
      <c r="B1827" s="7" t="s">
        <v>32</v>
      </c>
      <c r="C1827" s="15">
        <v>45323</v>
      </c>
      <c r="D1827" s="35" t="s">
        <v>33</v>
      </c>
      <c r="E1827" s="7" t="s">
        <v>34</v>
      </c>
      <c r="F1827" s="6"/>
    </row>
    <row r="1828" spans="1:6" ht="15.75" thickBot="1" x14ac:dyDescent="0.3">
      <c r="A1828" s="36"/>
      <c r="B1828" s="7" t="s">
        <v>36</v>
      </c>
      <c r="C1828" s="5">
        <v>1</v>
      </c>
      <c r="D1828" s="36"/>
      <c r="E1828" s="7" t="s">
        <v>37</v>
      </c>
      <c r="F1828" s="6"/>
    </row>
    <row r="1829" spans="1:6" ht="15.75" thickBot="1" x14ac:dyDescent="0.3">
      <c r="A1829" s="36"/>
      <c r="B1829" s="7" t="s">
        <v>39</v>
      </c>
      <c r="C1829" s="15">
        <v>45381</v>
      </c>
      <c r="D1829" s="36"/>
      <c r="E1829" s="7" t="s">
        <v>40</v>
      </c>
      <c r="F1829" s="6"/>
    </row>
    <row r="1830" spans="1:6" ht="15.75" thickBot="1" x14ac:dyDescent="0.3">
      <c r="A1830" s="36"/>
      <c r="B1830" s="7" t="s">
        <v>36</v>
      </c>
      <c r="C1830" s="5">
        <v>1</v>
      </c>
      <c r="D1830" s="36"/>
      <c r="E1830" s="7" t="s">
        <v>41</v>
      </c>
      <c r="F1830" s="6"/>
    </row>
    <row r="1831" spans="1:6" ht="15.75" thickBot="1" x14ac:dyDescent="0.3">
      <c r="A1831" s="2"/>
      <c r="B1831" s="2"/>
      <c r="C1831" s="2"/>
      <c r="D1831" s="2"/>
      <c r="E1831" s="2"/>
      <c r="F1831" s="2"/>
    </row>
    <row r="1832" spans="1:6" ht="15.75" thickBot="1" x14ac:dyDescent="0.3">
      <c r="A1832" s="12" t="s">
        <v>42</v>
      </c>
      <c r="B1832" s="12" t="s">
        <v>43</v>
      </c>
      <c r="C1832" s="12" t="s">
        <v>44</v>
      </c>
      <c r="D1832" s="12" t="s">
        <v>45</v>
      </c>
      <c r="E1832" s="12" t="s">
        <v>46</v>
      </c>
      <c r="F1832" s="12" t="s">
        <v>47</v>
      </c>
    </row>
    <row r="1833" spans="1:6" ht="45" x14ac:dyDescent="0.25">
      <c r="A1833" s="8">
        <v>50161509</v>
      </c>
      <c r="B1833" s="9" t="s">
        <v>173</v>
      </c>
      <c r="C1833" s="8" t="s">
        <v>74</v>
      </c>
      <c r="D1833" s="8">
        <v>500</v>
      </c>
      <c r="E1833" s="11">
        <v>83.78</v>
      </c>
      <c r="F1833" s="10">
        <v>41890</v>
      </c>
    </row>
    <row r="1834" spans="1:6" ht="22.5" x14ac:dyDescent="0.25">
      <c r="A1834" s="8">
        <v>50221101</v>
      </c>
      <c r="B1834" s="9" t="s">
        <v>464</v>
      </c>
      <c r="C1834" s="8" t="s">
        <v>74</v>
      </c>
      <c r="D1834" s="8">
        <v>500</v>
      </c>
      <c r="E1834" s="11">
        <v>231.38</v>
      </c>
      <c r="F1834" s="10">
        <v>115690</v>
      </c>
    </row>
    <row r="1835" spans="1:6" ht="45" x14ac:dyDescent="0.25">
      <c r="A1835" s="8">
        <v>50151513</v>
      </c>
      <c r="B1835" s="9" t="s">
        <v>465</v>
      </c>
      <c r="C1835" s="8" t="s">
        <v>55</v>
      </c>
      <c r="D1835" s="8">
        <v>500</v>
      </c>
      <c r="E1835" s="11">
        <v>132.16</v>
      </c>
      <c r="F1835" s="10">
        <v>66080</v>
      </c>
    </row>
    <row r="1836" spans="1:6" ht="22.5" x14ac:dyDescent="0.25">
      <c r="A1836" s="8">
        <v>50192111</v>
      </c>
      <c r="B1836" s="9" t="s">
        <v>466</v>
      </c>
      <c r="C1836" s="33" t="s">
        <v>55</v>
      </c>
      <c r="D1836" s="8">
        <v>500</v>
      </c>
      <c r="E1836" s="11">
        <v>619.5</v>
      </c>
      <c r="F1836" s="10">
        <v>309750</v>
      </c>
    </row>
    <row r="1837" spans="1:6" x14ac:dyDescent="0.25">
      <c r="A1837" s="8">
        <v>50201706</v>
      </c>
      <c r="B1837" s="9" t="s">
        <v>168</v>
      </c>
      <c r="C1837" s="33" t="s">
        <v>74</v>
      </c>
      <c r="D1837" s="8">
        <v>500</v>
      </c>
      <c r="E1837" s="11">
        <v>188.8</v>
      </c>
      <c r="F1837" s="10">
        <v>94400</v>
      </c>
    </row>
    <row r="1838" spans="1:6" ht="22.5" x14ac:dyDescent="0.25">
      <c r="A1838" s="8">
        <v>50171831</v>
      </c>
      <c r="B1838" s="9" t="s">
        <v>467</v>
      </c>
      <c r="C1838" s="8" t="s">
        <v>55</v>
      </c>
      <c r="D1838" s="8">
        <v>500</v>
      </c>
      <c r="E1838" s="11">
        <v>105.2</v>
      </c>
      <c r="F1838" s="10">
        <v>52600</v>
      </c>
    </row>
    <row r="1839" spans="1:6" ht="33.75" x14ac:dyDescent="0.25">
      <c r="A1839" s="8">
        <v>50121538</v>
      </c>
      <c r="B1839" s="9" t="s">
        <v>468</v>
      </c>
      <c r="C1839" s="8" t="s">
        <v>55</v>
      </c>
      <c r="D1839" s="8">
        <v>500</v>
      </c>
      <c r="E1839" s="11">
        <v>142.78</v>
      </c>
      <c r="F1839" s="10">
        <v>71390</v>
      </c>
    </row>
    <row r="1840" spans="1:6" ht="22.5" x14ac:dyDescent="0.25">
      <c r="A1840" s="8">
        <v>50192902</v>
      </c>
      <c r="B1840" s="9" t="s">
        <v>469</v>
      </c>
      <c r="C1840" s="8" t="s">
        <v>55</v>
      </c>
      <c r="D1840" s="8">
        <v>500</v>
      </c>
      <c r="E1840" s="11">
        <v>48.38</v>
      </c>
      <c r="F1840" s="10">
        <v>24190</v>
      </c>
    </row>
    <row r="1841" spans="1:6" x14ac:dyDescent="0.25">
      <c r="A1841" s="8">
        <v>50101543</v>
      </c>
      <c r="B1841" s="9" t="s">
        <v>470</v>
      </c>
      <c r="C1841" s="8" t="s">
        <v>55</v>
      </c>
      <c r="D1841" s="8">
        <v>500</v>
      </c>
      <c r="E1841" s="11">
        <v>178.18</v>
      </c>
      <c r="F1841" s="10">
        <v>89090</v>
      </c>
    </row>
    <row r="1842" spans="1:6" ht="45" x14ac:dyDescent="0.25">
      <c r="A1842" s="8">
        <v>50131701</v>
      </c>
      <c r="B1842" s="9" t="s">
        <v>171</v>
      </c>
      <c r="C1842" s="8" t="s">
        <v>55</v>
      </c>
      <c r="D1842" s="8">
        <v>500</v>
      </c>
      <c r="E1842" s="11">
        <v>384.68</v>
      </c>
      <c r="F1842" s="10">
        <v>192340</v>
      </c>
    </row>
    <row r="1843" spans="1:6" ht="33.75" x14ac:dyDescent="0.25">
      <c r="A1843" s="8">
        <v>50121538</v>
      </c>
      <c r="B1843" s="9" t="s">
        <v>468</v>
      </c>
      <c r="C1843" s="8" t="s">
        <v>55</v>
      </c>
      <c r="D1843" s="8">
        <v>500</v>
      </c>
      <c r="E1843" s="11">
        <v>148.68</v>
      </c>
      <c r="F1843" s="10">
        <v>74340</v>
      </c>
    </row>
    <row r="1844" spans="1:6" x14ac:dyDescent="0.25">
      <c r="A1844" s="8">
        <v>50101542</v>
      </c>
      <c r="B1844" s="9" t="s">
        <v>471</v>
      </c>
      <c r="C1844" s="8" t="s">
        <v>55</v>
      </c>
      <c r="D1844" s="8">
        <v>500</v>
      </c>
      <c r="E1844" s="11">
        <v>34.22</v>
      </c>
      <c r="F1844" s="10">
        <v>17110</v>
      </c>
    </row>
    <row r="1845" spans="1:6" ht="33.75" x14ac:dyDescent="0.25">
      <c r="A1845" s="8">
        <v>50161511</v>
      </c>
      <c r="B1845" s="9" t="s">
        <v>169</v>
      </c>
      <c r="C1845" s="8" t="s">
        <v>55</v>
      </c>
      <c r="D1845" s="8">
        <v>500</v>
      </c>
      <c r="E1845" s="11">
        <v>112.1</v>
      </c>
      <c r="F1845" s="10">
        <v>56050</v>
      </c>
    </row>
    <row r="1846" spans="1:6" ht="22.5" x14ac:dyDescent="0.25">
      <c r="A1846" s="8">
        <v>50221101</v>
      </c>
      <c r="B1846" s="9" t="s">
        <v>464</v>
      </c>
      <c r="C1846" s="8" t="s">
        <v>55</v>
      </c>
      <c r="D1846" s="8">
        <v>500</v>
      </c>
      <c r="E1846" s="11">
        <v>113.28</v>
      </c>
      <c r="F1846" s="10">
        <v>56640</v>
      </c>
    </row>
    <row r="1847" spans="1:6" x14ac:dyDescent="0.25">
      <c r="A1847" s="2"/>
      <c r="B1847" s="2"/>
      <c r="C1847" s="2"/>
      <c r="D1847" s="2"/>
      <c r="E1847" s="13" t="s">
        <v>87</v>
      </c>
      <c r="F1847" s="14">
        <v>1261560</v>
      </c>
    </row>
    <row r="1848" spans="1:6" ht="15.75" thickBot="1" x14ac:dyDescent="0.3">
      <c r="A1848" s="1"/>
      <c r="B1848" s="1"/>
      <c r="C1848" s="1"/>
      <c r="D1848" s="1"/>
      <c r="E1848" s="1"/>
      <c r="F1848" s="1"/>
    </row>
    <row r="1849" spans="1:6" ht="34.5" thickBot="1" x14ac:dyDescent="0.3">
      <c r="A1849" s="4" t="s">
        <v>19</v>
      </c>
      <c r="B1849" s="4" t="s">
        <v>20</v>
      </c>
      <c r="C1849" s="4" t="s">
        <v>21</v>
      </c>
      <c r="D1849" s="4" t="s">
        <v>22</v>
      </c>
      <c r="E1849" s="4" t="s">
        <v>23</v>
      </c>
      <c r="F1849" s="4" t="s">
        <v>24</v>
      </c>
    </row>
    <row r="1850" spans="1:6" ht="15.75" thickBot="1" x14ac:dyDescent="0.3">
      <c r="A1850" s="32" t="s">
        <v>489</v>
      </c>
      <c r="B1850" s="32" t="s">
        <v>490</v>
      </c>
      <c r="C1850" s="32" t="s">
        <v>27</v>
      </c>
      <c r="D1850" s="6" t="s">
        <v>28</v>
      </c>
      <c r="E1850" s="6" t="s">
        <v>262</v>
      </c>
      <c r="F1850" s="6"/>
    </row>
    <row r="1851" spans="1:6" ht="15.75" thickBot="1" x14ac:dyDescent="0.3">
      <c r="A1851" s="35" t="s">
        <v>31</v>
      </c>
      <c r="B1851" s="7" t="s">
        <v>32</v>
      </c>
      <c r="C1851" s="15">
        <v>45323</v>
      </c>
      <c r="D1851" s="35" t="s">
        <v>33</v>
      </c>
      <c r="E1851" s="7" t="s">
        <v>34</v>
      </c>
      <c r="F1851" s="6"/>
    </row>
    <row r="1852" spans="1:6" ht="15.75" thickBot="1" x14ac:dyDescent="0.3">
      <c r="A1852" s="36"/>
      <c r="B1852" s="7" t="s">
        <v>36</v>
      </c>
      <c r="C1852" s="5">
        <v>1</v>
      </c>
      <c r="D1852" s="36"/>
      <c r="E1852" s="7" t="s">
        <v>37</v>
      </c>
      <c r="F1852" s="6"/>
    </row>
    <row r="1853" spans="1:6" ht="15.75" thickBot="1" x14ac:dyDescent="0.3">
      <c r="A1853" s="36"/>
      <c r="B1853" s="7" t="s">
        <v>39</v>
      </c>
      <c r="C1853" s="15">
        <v>45381</v>
      </c>
      <c r="D1853" s="36"/>
      <c r="E1853" s="7" t="s">
        <v>40</v>
      </c>
      <c r="F1853" s="6"/>
    </row>
    <row r="1854" spans="1:6" ht="15.75" thickBot="1" x14ac:dyDescent="0.3">
      <c r="A1854" s="36"/>
      <c r="B1854" s="7" t="s">
        <v>36</v>
      </c>
      <c r="C1854" s="5">
        <v>1</v>
      </c>
      <c r="D1854" s="36"/>
      <c r="E1854" s="7" t="s">
        <v>41</v>
      </c>
      <c r="F1854" s="6"/>
    </row>
    <row r="1855" spans="1:6" ht="15.75" thickBot="1" x14ac:dyDescent="0.3">
      <c r="A1855" s="2"/>
      <c r="B1855" s="2"/>
      <c r="C1855" s="2"/>
      <c r="D1855" s="2"/>
      <c r="E1855" s="2"/>
      <c r="F1855" s="2"/>
    </row>
    <row r="1856" spans="1:6" ht="15.75" thickBot="1" x14ac:dyDescent="0.3">
      <c r="A1856" s="12" t="s">
        <v>42</v>
      </c>
      <c r="B1856" s="12" t="s">
        <v>43</v>
      </c>
      <c r="C1856" s="12" t="s">
        <v>44</v>
      </c>
      <c r="D1856" s="12" t="s">
        <v>45</v>
      </c>
      <c r="E1856" s="12" t="s">
        <v>46</v>
      </c>
      <c r="F1856" s="12" t="s">
        <v>47</v>
      </c>
    </row>
    <row r="1857" spans="1:6" ht="33.75" x14ac:dyDescent="0.25">
      <c r="A1857" s="8">
        <v>14111514</v>
      </c>
      <c r="B1857" s="9" t="s">
        <v>432</v>
      </c>
      <c r="C1857" s="8" t="s">
        <v>55</v>
      </c>
      <c r="D1857" s="8">
        <v>2400</v>
      </c>
      <c r="E1857" s="11">
        <v>92.04</v>
      </c>
      <c r="F1857" s="10">
        <v>220896.00000000003</v>
      </c>
    </row>
    <row r="1858" spans="1:6" ht="22.5" x14ac:dyDescent="0.25">
      <c r="A1858" s="8">
        <v>44121706</v>
      </c>
      <c r="B1858" s="9" t="s">
        <v>57</v>
      </c>
      <c r="C1858" s="8" t="s">
        <v>49</v>
      </c>
      <c r="D1858" s="8">
        <v>100</v>
      </c>
      <c r="E1858" s="11">
        <v>88.6</v>
      </c>
      <c r="F1858" s="10">
        <v>8860</v>
      </c>
    </row>
    <row r="1859" spans="1:6" x14ac:dyDescent="0.25">
      <c r="A1859" s="8">
        <v>44121701</v>
      </c>
      <c r="B1859" s="9" t="s">
        <v>53</v>
      </c>
      <c r="C1859" s="33" t="s">
        <v>49</v>
      </c>
      <c r="D1859" s="8">
        <v>100</v>
      </c>
      <c r="E1859" s="11">
        <v>109.84</v>
      </c>
      <c r="F1859" s="10">
        <v>10984</v>
      </c>
    </row>
    <row r="1860" spans="1:6" x14ac:dyDescent="0.25">
      <c r="A1860" s="8">
        <v>53121603</v>
      </c>
      <c r="B1860" s="9" t="s">
        <v>491</v>
      </c>
      <c r="C1860" s="33" t="s">
        <v>55</v>
      </c>
      <c r="D1860" s="8">
        <v>600</v>
      </c>
      <c r="E1860" s="11">
        <v>973.5</v>
      </c>
      <c r="F1860" s="10">
        <v>584100</v>
      </c>
    </row>
    <row r="1861" spans="1:6" x14ac:dyDescent="0.25">
      <c r="A1861" s="8">
        <v>44121804</v>
      </c>
      <c r="B1861" s="9" t="s">
        <v>228</v>
      </c>
      <c r="C1861" s="33" t="s">
        <v>55</v>
      </c>
      <c r="D1861" s="8">
        <v>600</v>
      </c>
      <c r="E1861" s="11">
        <v>51.92</v>
      </c>
      <c r="F1861" s="10">
        <v>31152</v>
      </c>
    </row>
    <row r="1862" spans="1:6" ht="22.5" x14ac:dyDescent="0.25">
      <c r="A1862" s="8">
        <v>44121619</v>
      </c>
      <c r="B1862" s="9" t="s">
        <v>237</v>
      </c>
      <c r="C1862" s="33" t="s">
        <v>55</v>
      </c>
      <c r="D1862" s="8">
        <v>600</v>
      </c>
      <c r="E1862" s="11">
        <v>23.6</v>
      </c>
      <c r="F1862" s="10">
        <v>14160</v>
      </c>
    </row>
    <row r="1863" spans="1:6" ht="33.75" x14ac:dyDescent="0.25">
      <c r="A1863" s="8">
        <v>44111509</v>
      </c>
      <c r="B1863" s="9" t="s">
        <v>238</v>
      </c>
      <c r="C1863" s="33" t="s">
        <v>55</v>
      </c>
      <c r="D1863" s="8">
        <v>600</v>
      </c>
      <c r="E1863" s="11">
        <v>135.69999999999999</v>
      </c>
      <c r="F1863" s="10">
        <v>81420</v>
      </c>
    </row>
    <row r="1864" spans="1:6" ht="56.25" x14ac:dyDescent="0.25">
      <c r="A1864" s="8">
        <v>52152002</v>
      </c>
      <c r="B1864" s="9" t="s">
        <v>492</v>
      </c>
      <c r="C1864" s="33" t="s">
        <v>55</v>
      </c>
      <c r="D1864" s="8">
        <v>600</v>
      </c>
      <c r="E1864" s="11">
        <v>722.75</v>
      </c>
      <c r="F1864" s="10">
        <v>433650</v>
      </c>
    </row>
    <row r="1865" spans="1:6" x14ac:dyDescent="0.25">
      <c r="A1865" s="8">
        <v>44111803</v>
      </c>
      <c r="B1865" s="9" t="s">
        <v>493</v>
      </c>
      <c r="C1865" s="33" t="s">
        <v>55</v>
      </c>
      <c r="D1865" s="8">
        <v>600</v>
      </c>
      <c r="E1865" s="11">
        <v>45.78</v>
      </c>
      <c r="F1865" s="10">
        <v>27468</v>
      </c>
    </row>
    <row r="1866" spans="1:6" ht="22.5" x14ac:dyDescent="0.25">
      <c r="A1866" s="8">
        <v>44111812</v>
      </c>
      <c r="B1866" s="9" t="s">
        <v>494</v>
      </c>
      <c r="C1866" s="33" t="s">
        <v>55</v>
      </c>
      <c r="D1866" s="8">
        <v>600</v>
      </c>
      <c r="E1866" s="11">
        <v>37.909999999999997</v>
      </c>
      <c r="F1866" s="10">
        <v>22745.999999999996</v>
      </c>
    </row>
    <row r="1867" spans="1:6" ht="22.5" x14ac:dyDescent="0.25">
      <c r="A1867" s="8">
        <v>44121707</v>
      </c>
      <c r="B1867" s="9" t="s">
        <v>495</v>
      </c>
      <c r="C1867" s="33" t="s">
        <v>49</v>
      </c>
      <c r="D1867" s="8">
        <v>600</v>
      </c>
      <c r="E1867" s="11">
        <v>107.43</v>
      </c>
      <c r="F1867" s="10">
        <v>64458.000000000007</v>
      </c>
    </row>
    <row r="1868" spans="1:6" x14ac:dyDescent="0.25">
      <c r="A1868" s="2"/>
      <c r="B1868" s="2"/>
      <c r="C1868" s="2"/>
      <c r="D1868" s="2"/>
      <c r="E1868" s="13" t="s">
        <v>87</v>
      </c>
      <c r="F1868" s="14">
        <v>1499894</v>
      </c>
    </row>
    <row r="1869" spans="1:6" ht="15.75" thickBot="1" x14ac:dyDescent="0.3">
      <c r="A1869" s="1"/>
      <c r="B1869" s="1"/>
      <c r="C1869" s="1"/>
      <c r="D1869" s="1"/>
      <c r="E1869" s="1"/>
      <c r="F1869" s="1"/>
    </row>
    <row r="1870" spans="1:6" ht="34.5" thickBot="1" x14ac:dyDescent="0.3">
      <c r="A1870" s="4" t="s">
        <v>19</v>
      </c>
      <c r="B1870" s="4" t="s">
        <v>20</v>
      </c>
      <c r="C1870" s="4" t="s">
        <v>21</v>
      </c>
      <c r="D1870" s="4" t="s">
        <v>22</v>
      </c>
      <c r="E1870" s="4" t="s">
        <v>23</v>
      </c>
      <c r="F1870" s="4" t="s">
        <v>24</v>
      </c>
    </row>
    <row r="1871" spans="1:6" ht="15.75" thickBot="1" x14ac:dyDescent="0.3">
      <c r="A1871" s="32" t="s">
        <v>496</v>
      </c>
      <c r="B1871" s="32" t="s">
        <v>497</v>
      </c>
      <c r="C1871" s="32" t="s">
        <v>129</v>
      </c>
      <c r="D1871" s="6" t="s">
        <v>28</v>
      </c>
      <c r="E1871" s="6" t="s">
        <v>262</v>
      </c>
      <c r="F1871" s="6"/>
    </row>
    <row r="1872" spans="1:6" ht="15.75" thickBot="1" x14ac:dyDescent="0.3">
      <c r="A1872" s="35" t="s">
        <v>31</v>
      </c>
      <c r="B1872" s="7" t="s">
        <v>32</v>
      </c>
      <c r="C1872" s="15">
        <v>45323</v>
      </c>
      <c r="D1872" s="35" t="s">
        <v>33</v>
      </c>
      <c r="E1872" s="7" t="s">
        <v>34</v>
      </c>
      <c r="F1872" s="6"/>
    </row>
    <row r="1873" spans="1:6" ht="15.75" thickBot="1" x14ac:dyDescent="0.3">
      <c r="A1873" s="36"/>
      <c r="B1873" s="7" t="s">
        <v>36</v>
      </c>
      <c r="C1873" s="5">
        <v>1</v>
      </c>
      <c r="D1873" s="36"/>
      <c r="E1873" s="7" t="s">
        <v>37</v>
      </c>
      <c r="F1873" s="6"/>
    </row>
    <row r="1874" spans="1:6" ht="15.75" thickBot="1" x14ac:dyDescent="0.3">
      <c r="A1874" s="36"/>
      <c r="B1874" s="7" t="s">
        <v>39</v>
      </c>
      <c r="C1874" s="15">
        <v>45381</v>
      </c>
      <c r="D1874" s="36"/>
      <c r="E1874" s="7" t="s">
        <v>40</v>
      </c>
      <c r="F1874" s="6"/>
    </row>
    <row r="1875" spans="1:6" ht="15.75" thickBot="1" x14ac:dyDescent="0.3">
      <c r="A1875" s="36"/>
      <c r="B1875" s="7" t="s">
        <v>36</v>
      </c>
      <c r="C1875" s="5">
        <v>1</v>
      </c>
      <c r="D1875" s="36"/>
      <c r="E1875" s="7" t="s">
        <v>41</v>
      </c>
      <c r="F1875" s="6"/>
    </row>
    <row r="1876" spans="1:6" ht="15.75" thickBot="1" x14ac:dyDescent="0.3">
      <c r="A1876" s="2"/>
      <c r="B1876" s="2"/>
      <c r="C1876" s="2"/>
      <c r="D1876" s="2"/>
      <c r="E1876" s="2"/>
      <c r="F1876" s="2"/>
    </row>
    <row r="1877" spans="1:6" ht="15.75" thickBot="1" x14ac:dyDescent="0.3">
      <c r="A1877" s="12" t="s">
        <v>42</v>
      </c>
      <c r="B1877" s="12" t="s">
        <v>43</v>
      </c>
      <c r="C1877" s="12" t="s">
        <v>44</v>
      </c>
      <c r="D1877" s="12" t="s">
        <v>45</v>
      </c>
      <c r="E1877" s="12" t="s">
        <v>46</v>
      </c>
      <c r="F1877" s="12" t="s">
        <v>47</v>
      </c>
    </row>
    <row r="1878" spans="1:6" ht="33.75" x14ac:dyDescent="0.25">
      <c r="A1878" s="8">
        <v>73151606</v>
      </c>
      <c r="B1878" s="9" t="s">
        <v>318</v>
      </c>
      <c r="C1878" s="33" t="s">
        <v>55</v>
      </c>
      <c r="D1878" s="8">
        <v>1</v>
      </c>
      <c r="E1878" s="11">
        <v>1600000</v>
      </c>
      <c r="F1878" s="10">
        <v>1600000</v>
      </c>
    </row>
    <row r="1879" spans="1:6" x14ac:dyDescent="0.25">
      <c r="A1879" s="2"/>
      <c r="B1879" s="2"/>
      <c r="C1879" s="2"/>
      <c r="D1879" s="2"/>
      <c r="E1879" s="13" t="s">
        <v>87</v>
      </c>
      <c r="F1879" s="14">
        <v>1600000</v>
      </c>
    </row>
    <row r="1880" spans="1:6" ht="15.75" thickBot="1" x14ac:dyDescent="0.3">
      <c r="A1880" s="1"/>
      <c r="B1880" s="1"/>
      <c r="C1880" s="1"/>
      <c r="D1880" s="1"/>
      <c r="E1880" s="1"/>
      <c r="F1880" s="1"/>
    </row>
    <row r="1881" spans="1:6" ht="34.5" thickBot="1" x14ac:dyDescent="0.3">
      <c r="A1881" s="4" t="s">
        <v>19</v>
      </c>
      <c r="B1881" s="4" t="s">
        <v>20</v>
      </c>
      <c r="C1881" s="4" t="s">
        <v>21</v>
      </c>
      <c r="D1881" s="4" t="s">
        <v>22</v>
      </c>
      <c r="E1881" s="4" t="s">
        <v>23</v>
      </c>
      <c r="F1881" s="4" t="s">
        <v>24</v>
      </c>
    </row>
    <row r="1882" spans="1:6" ht="15.75" thickBot="1" x14ac:dyDescent="0.3">
      <c r="A1882" s="32" t="s">
        <v>489</v>
      </c>
      <c r="B1882" s="32" t="s">
        <v>490</v>
      </c>
      <c r="C1882" s="32" t="s">
        <v>27</v>
      </c>
      <c r="D1882" s="6" t="s">
        <v>28</v>
      </c>
      <c r="E1882" s="6" t="s">
        <v>262</v>
      </c>
      <c r="F1882" s="6"/>
    </row>
    <row r="1883" spans="1:6" ht="15.75" thickBot="1" x14ac:dyDescent="0.3">
      <c r="A1883" s="35" t="s">
        <v>31</v>
      </c>
      <c r="B1883" s="7" t="s">
        <v>32</v>
      </c>
      <c r="C1883" s="15">
        <v>45323</v>
      </c>
      <c r="D1883" s="35" t="s">
        <v>33</v>
      </c>
      <c r="E1883" s="7" t="s">
        <v>34</v>
      </c>
      <c r="F1883" s="6"/>
    </row>
    <row r="1884" spans="1:6" ht="15.75" thickBot="1" x14ac:dyDescent="0.3">
      <c r="A1884" s="36"/>
      <c r="B1884" s="7" t="s">
        <v>36</v>
      </c>
      <c r="C1884" s="5">
        <v>1</v>
      </c>
      <c r="D1884" s="36"/>
      <c r="E1884" s="7" t="s">
        <v>37</v>
      </c>
      <c r="F1884" s="6"/>
    </row>
    <row r="1885" spans="1:6" ht="15.75" thickBot="1" x14ac:dyDescent="0.3">
      <c r="A1885" s="36"/>
      <c r="B1885" s="7" t="s">
        <v>39</v>
      </c>
      <c r="C1885" s="15">
        <v>45381</v>
      </c>
      <c r="D1885" s="36"/>
      <c r="E1885" s="7" t="s">
        <v>40</v>
      </c>
      <c r="F1885" s="6"/>
    </row>
    <row r="1886" spans="1:6" ht="15.75" thickBot="1" x14ac:dyDescent="0.3">
      <c r="A1886" s="36"/>
      <c r="B1886" s="7" t="s">
        <v>36</v>
      </c>
      <c r="C1886" s="5">
        <v>1</v>
      </c>
      <c r="D1886" s="36"/>
      <c r="E1886" s="7" t="s">
        <v>41</v>
      </c>
      <c r="F1886" s="6"/>
    </row>
    <row r="1887" spans="1:6" ht="15.75" thickBot="1" x14ac:dyDescent="0.3">
      <c r="A1887" s="2"/>
      <c r="B1887" s="2"/>
      <c r="C1887" s="2"/>
      <c r="D1887" s="2"/>
      <c r="E1887" s="2"/>
      <c r="F1887" s="2"/>
    </row>
    <row r="1888" spans="1:6" ht="15.75" thickBot="1" x14ac:dyDescent="0.3">
      <c r="A1888" s="12" t="s">
        <v>42</v>
      </c>
      <c r="B1888" s="12" t="s">
        <v>43</v>
      </c>
      <c r="C1888" s="12" t="s">
        <v>44</v>
      </c>
      <c r="D1888" s="12" t="s">
        <v>45</v>
      </c>
      <c r="E1888" s="12" t="s">
        <v>46</v>
      </c>
      <c r="F1888" s="12" t="s">
        <v>47</v>
      </c>
    </row>
    <row r="1889" spans="1:6" ht="33.75" x14ac:dyDescent="0.25">
      <c r="A1889" s="8">
        <v>14111514</v>
      </c>
      <c r="B1889" s="9" t="s">
        <v>432</v>
      </c>
      <c r="C1889" s="33" t="s">
        <v>55</v>
      </c>
      <c r="D1889" s="8">
        <v>2400</v>
      </c>
      <c r="E1889" s="11">
        <v>92.04</v>
      </c>
      <c r="F1889" s="10">
        <v>220896.00000000003</v>
      </c>
    </row>
    <row r="1890" spans="1:6" ht="22.5" x14ac:dyDescent="0.25">
      <c r="A1890" s="8">
        <v>44121706</v>
      </c>
      <c r="B1890" s="9" t="s">
        <v>57</v>
      </c>
      <c r="C1890" s="33" t="s">
        <v>49</v>
      </c>
      <c r="D1890" s="8">
        <v>100</v>
      </c>
      <c r="E1890" s="11">
        <v>88.6</v>
      </c>
      <c r="F1890" s="10">
        <v>8860</v>
      </c>
    </row>
    <row r="1891" spans="1:6" x14ac:dyDescent="0.25">
      <c r="A1891" s="8">
        <v>44121701</v>
      </c>
      <c r="B1891" s="9" t="s">
        <v>53</v>
      </c>
      <c r="C1891" s="33" t="s">
        <v>49</v>
      </c>
      <c r="D1891" s="8">
        <v>100</v>
      </c>
      <c r="E1891" s="11">
        <v>109.84</v>
      </c>
      <c r="F1891" s="10">
        <v>10984</v>
      </c>
    </row>
    <row r="1892" spans="1:6" x14ac:dyDescent="0.25">
      <c r="A1892" s="8">
        <v>53121603</v>
      </c>
      <c r="B1892" s="9" t="s">
        <v>491</v>
      </c>
      <c r="C1892" s="33" t="s">
        <v>55</v>
      </c>
      <c r="D1892" s="8">
        <v>600</v>
      </c>
      <c r="E1892" s="11">
        <v>973.5</v>
      </c>
      <c r="F1892" s="10">
        <v>584100</v>
      </c>
    </row>
    <row r="1893" spans="1:6" x14ac:dyDescent="0.25">
      <c r="A1893" s="8">
        <v>44121804</v>
      </c>
      <c r="B1893" s="9" t="s">
        <v>228</v>
      </c>
      <c r="C1893" s="33" t="s">
        <v>55</v>
      </c>
      <c r="D1893" s="8">
        <v>600</v>
      </c>
      <c r="E1893" s="11">
        <v>51.92</v>
      </c>
      <c r="F1893" s="10">
        <v>31152</v>
      </c>
    </row>
    <row r="1894" spans="1:6" ht="22.5" x14ac:dyDescent="0.25">
      <c r="A1894" s="8">
        <v>44121619</v>
      </c>
      <c r="B1894" s="9" t="s">
        <v>237</v>
      </c>
      <c r="C1894" s="33" t="s">
        <v>55</v>
      </c>
      <c r="D1894" s="8">
        <v>600</v>
      </c>
      <c r="E1894" s="11">
        <v>23.6</v>
      </c>
      <c r="F1894" s="10">
        <v>14160</v>
      </c>
    </row>
    <row r="1895" spans="1:6" ht="33.75" x14ac:dyDescent="0.25">
      <c r="A1895" s="8">
        <v>44111509</v>
      </c>
      <c r="B1895" s="9" t="s">
        <v>238</v>
      </c>
      <c r="C1895" s="33" t="s">
        <v>55</v>
      </c>
      <c r="D1895" s="8">
        <v>600</v>
      </c>
      <c r="E1895" s="11">
        <v>135.69999999999999</v>
      </c>
      <c r="F1895" s="10">
        <v>81420</v>
      </c>
    </row>
    <row r="1896" spans="1:6" ht="56.25" x14ac:dyDescent="0.25">
      <c r="A1896" s="8">
        <v>52152002</v>
      </c>
      <c r="B1896" s="9" t="s">
        <v>492</v>
      </c>
      <c r="C1896" s="33" t="s">
        <v>55</v>
      </c>
      <c r="D1896" s="8">
        <v>600</v>
      </c>
      <c r="E1896" s="11">
        <v>722.75</v>
      </c>
      <c r="F1896" s="10">
        <v>433650</v>
      </c>
    </row>
    <row r="1897" spans="1:6" x14ac:dyDescent="0.25">
      <c r="A1897" s="8">
        <v>44111803</v>
      </c>
      <c r="B1897" s="9" t="s">
        <v>493</v>
      </c>
      <c r="C1897" s="33" t="s">
        <v>55</v>
      </c>
      <c r="D1897" s="8">
        <v>600</v>
      </c>
      <c r="E1897" s="11">
        <v>45.78</v>
      </c>
      <c r="F1897" s="10">
        <v>27468</v>
      </c>
    </row>
    <row r="1898" spans="1:6" ht="22.5" x14ac:dyDescent="0.25">
      <c r="A1898" s="8">
        <v>44111812</v>
      </c>
      <c r="B1898" s="9" t="s">
        <v>494</v>
      </c>
      <c r="C1898" s="33" t="s">
        <v>55</v>
      </c>
      <c r="D1898" s="8">
        <v>600</v>
      </c>
      <c r="E1898" s="11">
        <v>37.909999999999997</v>
      </c>
      <c r="F1898" s="10">
        <v>22745.999999999996</v>
      </c>
    </row>
    <row r="1899" spans="1:6" ht="22.5" x14ac:dyDescent="0.25">
      <c r="A1899" s="8">
        <v>44121707</v>
      </c>
      <c r="B1899" s="9" t="s">
        <v>495</v>
      </c>
      <c r="C1899" s="33" t="s">
        <v>49</v>
      </c>
      <c r="D1899" s="8">
        <v>600</v>
      </c>
      <c r="E1899" s="11">
        <v>107.43</v>
      </c>
      <c r="F1899" s="10">
        <v>64458.000000000007</v>
      </c>
    </row>
    <row r="1900" spans="1:6" x14ac:dyDescent="0.25">
      <c r="A1900" s="2"/>
      <c r="B1900" s="2"/>
      <c r="C1900" s="2"/>
      <c r="D1900" s="2"/>
      <c r="E1900" s="13" t="s">
        <v>87</v>
      </c>
      <c r="F1900" s="14">
        <v>1499894</v>
      </c>
    </row>
    <row r="1901" spans="1:6" ht="15.75" thickBot="1" x14ac:dyDescent="0.3">
      <c r="A1901" s="1"/>
      <c r="B1901" s="1"/>
      <c r="C1901" s="1"/>
      <c r="D1901" s="1"/>
      <c r="E1901" s="1"/>
      <c r="F1901" s="1"/>
    </row>
    <row r="1902" spans="1:6" ht="34.5" thickBot="1" x14ac:dyDescent="0.3">
      <c r="A1902" s="4" t="s">
        <v>19</v>
      </c>
      <c r="B1902" s="4" t="s">
        <v>20</v>
      </c>
      <c r="C1902" s="4" t="s">
        <v>21</v>
      </c>
      <c r="D1902" s="4" t="s">
        <v>22</v>
      </c>
      <c r="E1902" s="4" t="s">
        <v>23</v>
      </c>
      <c r="F1902" s="4" t="s">
        <v>24</v>
      </c>
    </row>
    <row r="1903" spans="1:6" ht="15.75" thickBot="1" x14ac:dyDescent="0.3">
      <c r="A1903" s="32" t="s">
        <v>462</v>
      </c>
      <c r="B1903" s="32" t="s">
        <v>463</v>
      </c>
      <c r="C1903" s="32" t="s">
        <v>27</v>
      </c>
      <c r="D1903" s="6" t="s">
        <v>28</v>
      </c>
      <c r="E1903" s="6" t="s">
        <v>262</v>
      </c>
      <c r="F1903" s="6"/>
    </row>
    <row r="1904" spans="1:6" ht="15.75" thickBot="1" x14ac:dyDescent="0.3">
      <c r="A1904" s="35" t="s">
        <v>31</v>
      </c>
      <c r="B1904" s="7" t="s">
        <v>32</v>
      </c>
      <c r="C1904" s="15">
        <v>45323</v>
      </c>
      <c r="D1904" s="35" t="s">
        <v>33</v>
      </c>
      <c r="E1904" s="7" t="s">
        <v>34</v>
      </c>
      <c r="F1904" s="6"/>
    </row>
    <row r="1905" spans="1:6" ht="15.75" thickBot="1" x14ac:dyDescent="0.3">
      <c r="A1905" s="36"/>
      <c r="B1905" s="7" t="s">
        <v>36</v>
      </c>
      <c r="C1905" s="5">
        <v>1</v>
      </c>
      <c r="D1905" s="36"/>
      <c r="E1905" s="7" t="s">
        <v>37</v>
      </c>
      <c r="F1905" s="6"/>
    </row>
    <row r="1906" spans="1:6" ht="15.75" thickBot="1" x14ac:dyDescent="0.3">
      <c r="A1906" s="36"/>
      <c r="B1906" s="7" t="s">
        <v>39</v>
      </c>
      <c r="C1906" s="15">
        <v>45381</v>
      </c>
      <c r="D1906" s="36"/>
      <c r="E1906" s="7" t="s">
        <v>40</v>
      </c>
      <c r="F1906" s="6"/>
    </row>
    <row r="1907" spans="1:6" ht="15.75" thickBot="1" x14ac:dyDescent="0.3">
      <c r="A1907" s="36"/>
      <c r="B1907" s="7" t="s">
        <v>36</v>
      </c>
      <c r="C1907" s="5">
        <v>1</v>
      </c>
      <c r="D1907" s="36"/>
      <c r="E1907" s="7" t="s">
        <v>41</v>
      </c>
      <c r="F1907" s="6"/>
    </row>
    <row r="1908" spans="1:6" ht="15.75" thickBot="1" x14ac:dyDescent="0.3">
      <c r="A1908" s="2"/>
      <c r="B1908" s="2"/>
      <c r="C1908" s="2"/>
      <c r="D1908" s="2"/>
      <c r="E1908" s="2"/>
      <c r="F1908" s="2"/>
    </row>
    <row r="1909" spans="1:6" ht="15.75" thickBot="1" x14ac:dyDescent="0.3">
      <c r="A1909" s="12" t="s">
        <v>42</v>
      </c>
      <c r="B1909" s="12" t="s">
        <v>43</v>
      </c>
      <c r="C1909" s="12" t="s">
        <v>44</v>
      </c>
      <c r="D1909" s="12" t="s">
        <v>45</v>
      </c>
      <c r="E1909" s="12" t="s">
        <v>46</v>
      </c>
      <c r="F1909" s="12" t="s">
        <v>47</v>
      </c>
    </row>
    <row r="1910" spans="1:6" ht="45" x14ac:dyDescent="0.25">
      <c r="A1910" s="8">
        <v>50161509</v>
      </c>
      <c r="B1910" s="9" t="s">
        <v>173</v>
      </c>
      <c r="C1910" s="8" t="s">
        <v>74</v>
      </c>
      <c r="D1910" s="8">
        <v>500</v>
      </c>
      <c r="E1910" s="11">
        <v>83.78</v>
      </c>
      <c r="F1910" s="10">
        <v>41890</v>
      </c>
    </row>
    <row r="1911" spans="1:6" ht="22.5" x14ac:dyDescent="0.25">
      <c r="A1911" s="8">
        <v>50221101</v>
      </c>
      <c r="B1911" s="9" t="s">
        <v>464</v>
      </c>
      <c r="C1911" s="33" t="s">
        <v>74</v>
      </c>
      <c r="D1911" s="8">
        <v>500</v>
      </c>
      <c r="E1911" s="11">
        <v>231.38</v>
      </c>
      <c r="F1911" s="10">
        <v>115690</v>
      </c>
    </row>
    <row r="1912" spans="1:6" ht="45" x14ac:dyDescent="0.25">
      <c r="A1912" s="8">
        <v>50151513</v>
      </c>
      <c r="B1912" s="9" t="s">
        <v>465</v>
      </c>
      <c r="C1912" s="33" t="s">
        <v>55</v>
      </c>
      <c r="D1912" s="8">
        <v>500</v>
      </c>
      <c r="E1912" s="11">
        <v>132.16</v>
      </c>
      <c r="F1912" s="10">
        <v>66080</v>
      </c>
    </row>
    <row r="1913" spans="1:6" ht="22.5" x14ac:dyDescent="0.25">
      <c r="A1913" s="8">
        <v>50192111</v>
      </c>
      <c r="B1913" s="9" t="s">
        <v>466</v>
      </c>
      <c r="C1913" s="33" t="s">
        <v>55</v>
      </c>
      <c r="D1913" s="8">
        <v>500</v>
      </c>
      <c r="E1913" s="11">
        <v>619.5</v>
      </c>
      <c r="F1913" s="10">
        <v>309750</v>
      </c>
    </row>
    <row r="1914" spans="1:6" x14ac:dyDescent="0.25">
      <c r="A1914" s="8">
        <v>50201706</v>
      </c>
      <c r="B1914" s="9" t="s">
        <v>168</v>
      </c>
      <c r="C1914" s="33" t="s">
        <v>74</v>
      </c>
      <c r="D1914" s="8">
        <v>500</v>
      </c>
      <c r="E1914" s="11">
        <v>188.8</v>
      </c>
      <c r="F1914" s="10">
        <v>94400</v>
      </c>
    </row>
    <row r="1915" spans="1:6" ht="22.5" x14ac:dyDescent="0.25">
      <c r="A1915" s="8">
        <v>50171831</v>
      </c>
      <c r="B1915" s="9" t="s">
        <v>467</v>
      </c>
      <c r="C1915" s="33" t="s">
        <v>55</v>
      </c>
      <c r="D1915" s="8">
        <v>500</v>
      </c>
      <c r="E1915" s="11">
        <v>105.2</v>
      </c>
      <c r="F1915" s="10">
        <v>52600</v>
      </c>
    </row>
    <row r="1916" spans="1:6" ht="33.75" x14ac:dyDescent="0.25">
      <c r="A1916" s="8">
        <v>50121538</v>
      </c>
      <c r="B1916" s="9" t="s">
        <v>468</v>
      </c>
      <c r="C1916" s="33" t="s">
        <v>55</v>
      </c>
      <c r="D1916" s="8">
        <v>500</v>
      </c>
      <c r="E1916" s="11">
        <v>142.78</v>
      </c>
      <c r="F1916" s="10">
        <v>71390</v>
      </c>
    </row>
    <row r="1917" spans="1:6" ht="22.5" x14ac:dyDescent="0.25">
      <c r="A1917" s="8">
        <v>50192902</v>
      </c>
      <c r="B1917" s="9" t="s">
        <v>469</v>
      </c>
      <c r="C1917" s="33" t="s">
        <v>55</v>
      </c>
      <c r="D1917" s="8">
        <v>500</v>
      </c>
      <c r="E1917" s="11">
        <v>48.38</v>
      </c>
      <c r="F1917" s="10">
        <v>24190</v>
      </c>
    </row>
    <row r="1918" spans="1:6" x14ac:dyDescent="0.25">
      <c r="A1918" s="8">
        <v>50101543</v>
      </c>
      <c r="B1918" s="9" t="s">
        <v>470</v>
      </c>
      <c r="C1918" s="33" t="s">
        <v>55</v>
      </c>
      <c r="D1918" s="8">
        <v>500</v>
      </c>
      <c r="E1918" s="11">
        <v>178.18</v>
      </c>
      <c r="F1918" s="10">
        <v>89090</v>
      </c>
    </row>
    <row r="1919" spans="1:6" ht="45" x14ac:dyDescent="0.25">
      <c r="A1919" s="8">
        <v>50131701</v>
      </c>
      <c r="B1919" s="9" t="s">
        <v>171</v>
      </c>
      <c r="C1919" s="33" t="s">
        <v>55</v>
      </c>
      <c r="D1919" s="8">
        <v>500</v>
      </c>
      <c r="E1919" s="11">
        <v>384.68</v>
      </c>
      <c r="F1919" s="10">
        <v>192340</v>
      </c>
    </row>
    <row r="1920" spans="1:6" ht="33.75" x14ac:dyDescent="0.25">
      <c r="A1920" s="8">
        <v>50121538</v>
      </c>
      <c r="B1920" s="9" t="s">
        <v>468</v>
      </c>
      <c r="C1920" s="33" t="s">
        <v>55</v>
      </c>
      <c r="D1920" s="8">
        <v>500</v>
      </c>
      <c r="E1920" s="11">
        <v>148.68</v>
      </c>
      <c r="F1920" s="10">
        <v>74340</v>
      </c>
    </row>
    <row r="1921" spans="1:6" x14ac:dyDescent="0.25">
      <c r="A1921" s="8">
        <v>50101542</v>
      </c>
      <c r="B1921" s="9" t="s">
        <v>471</v>
      </c>
      <c r="C1921" s="33" t="s">
        <v>55</v>
      </c>
      <c r="D1921" s="8">
        <v>500</v>
      </c>
      <c r="E1921" s="11">
        <v>34.22</v>
      </c>
      <c r="F1921" s="10">
        <v>17110</v>
      </c>
    </row>
    <row r="1922" spans="1:6" ht="33.75" x14ac:dyDescent="0.25">
      <c r="A1922" s="8">
        <v>50161511</v>
      </c>
      <c r="B1922" s="9" t="s">
        <v>169</v>
      </c>
      <c r="C1922" s="33" t="s">
        <v>55</v>
      </c>
      <c r="D1922" s="8">
        <v>500</v>
      </c>
      <c r="E1922" s="11">
        <v>112.1</v>
      </c>
      <c r="F1922" s="10">
        <v>56050</v>
      </c>
    </row>
    <row r="1923" spans="1:6" ht="22.5" x14ac:dyDescent="0.25">
      <c r="A1923" s="8">
        <v>50221101</v>
      </c>
      <c r="B1923" s="9" t="s">
        <v>464</v>
      </c>
      <c r="C1923" s="33" t="s">
        <v>55</v>
      </c>
      <c r="D1923" s="8">
        <v>500</v>
      </c>
      <c r="E1923" s="11">
        <v>113.28</v>
      </c>
      <c r="F1923" s="10">
        <v>56640</v>
      </c>
    </row>
    <row r="1924" spans="1:6" x14ac:dyDescent="0.25">
      <c r="A1924" s="2"/>
      <c r="B1924" s="2"/>
      <c r="C1924" s="2"/>
      <c r="D1924" s="2"/>
      <c r="E1924" s="13" t="s">
        <v>87</v>
      </c>
      <c r="F1924" s="14">
        <v>1261560</v>
      </c>
    </row>
    <row r="1925" spans="1:6" ht="15.75" thickBot="1" x14ac:dyDescent="0.3">
      <c r="A1925" s="1"/>
      <c r="B1925" s="1"/>
      <c r="C1925" s="1"/>
      <c r="D1925" s="1"/>
      <c r="E1925" s="1"/>
      <c r="F1925" s="1"/>
    </row>
    <row r="1926" spans="1:6" ht="34.5" thickBot="1" x14ac:dyDescent="0.3">
      <c r="A1926" s="4" t="s">
        <v>19</v>
      </c>
      <c r="B1926" s="4" t="s">
        <v>20</v>
      </c>
      <c r="C1926" s="4" t="s">
        <v>21</v>
      </c>
      <c r="D1926" s="4" t="s">
        <v>22</v>
      </c>
      <c r="E1926" s="4" t="s">
        <v>23</v>
      </c>
      <c r="F1926" s="4" t="s">
        <v>24</v>
      </c>
    </row>
    <row r="1927" spans="1:6" ht="15.75" thickBot="1" x14ac:dyDescent="0.3">
      <c r="A1927" s="32" t="s">
        <v>498</v>
      </c>
      <c r="B1927" s="32" t="s">
        <v>499</v>
      </c>
      <c r="C1927" s="32" t="s">
        <v>129</v>
      </c>
      <c r="D1927" s="6" t="s">
        <v>28</v>
      </c>
      <c r="E1927" s="6" t="s">
        <v>262</v>
      </c>
      <c r="F1927" s="6"/>
    </row>
    <row r="1928" spans="1:6" ht="15.75" thickBot="1" x14ac:dyDescent="0.3">
      <c r="A1928" s="35" t="s">
        <v>31</v>
      </c>
      <c r="B1928" s="7" t="s">
        <v>32</v>
      </c>
      <c r="C1928" s="15">
        <v>45323</v>
      </c>
      <c r="D1928" s="35" t="s">
        <v>33</v>
      </c>
      <c r="E1928" s="7" t="s">
        <v>34</v>
      </c>
      <c r="F1928" s="6"/>
    </row>
    <row r="1929" spans="1:6" ht="15.75" thickBot="1" x14ac:dyDescent="0.3">
      <c r="A1929" s="36"/>
      <c r="B1929" s="7" t="s">
        <v>36</v>
      </c>
      <c r="C1929" s="5">
        <v>1</v>
      </c>
      <c r="D1929" s="36"/>
      <c r="E1929" s="7" t="s">
        <v>37</v>
      </c>
      <c r="F1929" s="6"/>
    </row>
    <row r="1930" spans="1:6" ht="15.75" thickBot="1" x14ac:dyDescent="0.3">
      <c r="A1930" s="36"/>
      <c r="B1930" s="7" t="s">
        <v>39</v>
      </c>
      <c r="C1930" s="15">
        <v>45381</v>
      </c>
      <c r="D1930" s="36"/>
      <c r="E1930" s="7" t="s">
        <v>40</v>
      </c>
      <c r="F1930" s="6"/>
    </row>
    <row r="1931" spans="1:6" ht="15.75" thickBot="1" x14ac:dyDescent="0.3">
      <c r="A1931" s="36"/>
      <c r="B1931" s="7" t="s">
        <v>36</v>
      </c>
      <c r="C1931" s="5">
        <v>1</v>
      </c>
      <c r="D1931" s="36"/>
      <c r="E1931" s="7" t="s">
        <v>41</v>
      </c>
      <c r="F1931" s="6"/>
    </row>
    <row r="1932" spans="1:6" ht="15.75" thickBot="1" x14ac:dyDescent="0.3">
      <c r="A1932" s="2"/>
      <c r="B1932" s="2"/>
      <c r="C1932" s="2"/>
      <c r="D1932" s="2"/>
      <c r="E1932" s="2"/>
      <c r="F1932" s="2"/>
    </row>
    <row r="1933" spans="1:6" ht="15.75" thickBot="1" x14ac:dyDescent="0.3">
      <c r="A1933" s="12" t="s">
        <v>42</v>
      </c>
      <c r="B1933" s="12" t="s">
        <v>43</v>
      </c>
      <c r="C1933" s="12" t="s">
        <v>44</v>
      </c>
      <c r="D1933" s="12" t="s">
        <v>45</v>
      </c>
      <c r="E1933" s="12" t="s">
        <v>46</v>
      </c>
      <c r="F1933" s="12" t="s">
        <v>47</v>
      </c>
    </row>
    <row r="1934" spans="1:6" ht="22.5" x14ac:dyDescent="0.25">
      <c r="A1934" s="8">
        <v>90101603</v>
      </c>
      <c r="B1934" s="9" t="s">
        <v>293</v>
      </c>
      <c r="C1934" s="33" t="s">
        <v>55</v>
      </c>
      <c r="D1934" s="8">
        <v>1200</v>
      </c>
      <c r="E1934" s="11">
        <v>750</v>
      </c>
      <c r="F1934" s="10">
        <v>900000</v>
      </c>
    </row>
    <row r="1935" spans="1:6" x14ac:dyDescent="0.25">
      <c r="A1935" s="2"/>
      <c r="B1935" s="2"/>
      <c r="C1935" s="2"/>
      <c r="D1935" s="2"/>
      <c r="E1935" s="13" t="s">
        <v>87</v>
      </c>
      <c r="F1935" s="14">
        <v>900000</v>
      </c>
    </row>
    <row r="1936" spans="1:6" ht="15.75" thickBot="1" x14ac:dyDescent="0.3">
      <c r="A1936" s="1"/>
      <c r="B1936" s="1"/>
      <c r="C1936" s="1"/>
      <c r="D1936" s="1"/>
      <c r="E1936" s="1"/>
      <c r="F1936" s="1"/>
    </row>
    <row r="1937" spans="1:6" ht="34.5" thickBot="1" x14ac:dyDescent="0.3">
      <c r="A1937" s="4" t="s">
        <v>19</v>
      </c>
      <c r="B1937" s="4" t="s">
        <v>20</v>
      </c>
      <c r="C1937" s="4" t="s">
        <v>21</v>
      </c>
      <c r="D1937" s="4" t="s">
        <v>22</v>
      </c>
      <c r="E1937" s="4" t="s">
        <v>23</v>
      </c>
      <c r="F1937" s="4" t="s">
        <v>24</v>
      </c>
    </row>
    <row r="1938" spans="1:6" ht="15.75" thickBot="1" x14ac:dyDescent="0.3">
      <c r="A1938" s="32" t="s">
        <v>221</v>
      </c>
      <c r="B1938" s="32" t="s">
        <v>500</v>
      </c>
      <c r="C1938" s="32" t="s">
        <v>129</v>
      </c>
      <c r="D1938" s="6" t="s">
        <v>28</v>
      </c>
      <c r="E1938" s="6" t="s">
        <v>262</v>
      </c>
      <c r="F1938" s="6"/>
    </row>
    <row r="1939" spans="1:6" ht="15.75" thickBot="1" x14ac:dyDescent="0.3">
      <c r="A1939" s="35" t="s">
        <v>31</v>
      </c>
      <c r="B1939" s="7" t="s">
        <v>32</v>
      </c>
      <c r="C1939" s="15">
        <v>45323</v>
      </c>
      <c r="D1939" s="35" t="s">
        <v>33</v>
      </c>
      <c r="E1939" s="7" t="s">
        <v>34</v>
      </c>
      <c r="F1939" s="6"/>
    </row>
    <row r="1940" spans="1:6" ht="15.75" thickBot="1" x14ac:dyDescent="0.3">
      <c r="A1940" s="36"/>
      <c r="B1940" s="7" t="s">
        <v>36</v>
      </c>
      <c r="C1940" s="5">
        <v>1</v>
      </c>
      <c r="D1940" s="36"/>
      <c r="E1940" s="7" t="s">
        <v>37</v>
      </c>
      <c r="F1940" s="6"/>
    </row>
    <row r="1941" spans="1:6" ht="15.75" thickBot="1" x14ac:dyDescent="0.3">
      <c r="A1941" s="36"/>
      <c r="B1941" s="7" t="s">
        <v>39</v>
      </c>
      <c r="C1941" s="15">
        <v>45381</v>
      </c>
      <c r="D1941" s="36"/>
      <c r="E1941" s="7" t="s">
        <v>40</v>
      </c>
      <c r="F1941" s="6"/>
    </row>
    <row r="1942" spans="1:6" ht="15.75" thickBot="1" x14ac:dyDescent="0.3">
      <c r="A1942" s="36"/>
      <c r="B1942" s="7" t="s">
        <v>36</v>
      </c>
      <c r="C1942" s="5">
        <v>1</v>
      </c>
      <c r="D1942" s="36"/>
      <c r="E1942" s="7" t="s">
        <v>41</v>
      </c>
      <c r="F1942" s="6"/>
    </row>
    <row r="1943" spans="1:6" ht="15.75" thickBot="1" x14ac:dyDescent="0.3">
      <c r="A1943" s="2"/>
      <c r="B1943" s="2"/>
      <c r="C1943" s="2"/>
      <c r="D1943" s="2"/>
      <c r="E1943" s="2"/>
      <c r="F1943" s="2"/>
    </row>
    <row r="1944" spans="1:6" ht="15.75" thickBot="1" x14ac:dyDescent="0.3">
      <c r="A1944" s="12" t="s">
        <v>42</v>
      </c>
      <c r="B1944" s="12" t="s">
        <v>43</v>
      </c>
      <c r="C1944" s="12" t="s">
        <v>44</v>
      </c>
      <c r="D1944" s="12" t="s">
        <v>45</v>
      </c>
      <c r="E1944" s="12" t="s">
        <v>46</v>
      </c>
      <c r="F1944" s="12" t="s">
        <v>47</v>
      </c>
    </row>
    <row r="1945" spans="1:6" ht="33.75" x14ac:dyDescent="0.25">
      <c r="A1945" s="8">
        <v>90101802</v>
      </c>
      <c r="B1945" s="9" t="s">
        <v>223</v>
      </c>
      <c r="C1945" s="33" t="s">
        <v>55</v>
      </c>
      <c r="D1945" s="8">
        <v>15</v>
      </c>
      <c r="E1945" s="11">
        <v>1800</v>
      </c>
      <c r="F1945" s="10">
        <v>27000</v>
      </c>
    </row>
    <row r="1946" spans="1:6" x14ac:dyDescent="0.25">
      <c r="A1946" s="2"/>
      <c r="B1946" s="2"/>
      <c r="C1946" s="2"/>
      <c r="D1946" s="2"/>
      <c r="E1946" s="13" t="s">
        <v>87</v>
      </c>
      <c r="F1946" s="14">
        <v>27000</v>
      </c>
    </row>
    <row r="1947" spans="1:6" ht="15.75" thickBot="1" x14ac:dyDescent="0.3">
      <c r="A1947" s="1"/>
      <c r="B1947" s="1"/>
      <c r="C1947" s="1"/>
      <c r="D1947" s="1"/>
      <c r="E1947" s="1"/>
      <c r="F1947" s="1"/>
    </row>
    <row r="1948" spans="1:6" ht="34.5" thickBot="1" x14ac:dyDescent="0.3">
      <c r="A1948" s="4" t="s">
        <v>19</v>
      </c>
      <c r="B1948" s="4" t="s">
        <v>20</v>
      </c>
      <c r="C1948" s="4" t="s">
        <v>21</v>
      </c>
      <c r="D1948" s="4" t="s">
        <v>22</v>
      </c>
      <c r="E1948" s="4" t="s">
        <v>23</v>
      </c>
      <c r="F1948" s="4" t="s">
        <v>24</v>
      </c>
    </row>
    <row r="1949" spans="1:6" ht="15.75" thickBot="1" x14ac:dyDescent="0.3">
      <c r="A1949" s="32" t="s">
        <v>501</v>
      </c>
      <c r="B1949" s="32" t="s">
        <v>490</v>
      </c>
      <c r="C1949" s="32" t="s">
        <v>27</v>
      </c>
      <c r="D1949" s="6" t="s">
        <v>28</v>
      </c>
      <c r="E1949" s="6" t="s">
        <v>262</v>
      </c>
      <c r="F1949" s="6"/>
    </row>
    <row r="1950" spans="1:6" ht="15.75" thickBot="1" x14ac:dyDescent="0.3">
      <c r="A1950" s="35" t="s">
        <v>31</v>
      </c>
      <c r="B1950" s="7" t="s">
        <v>32</v>
      </c>
      <c r="C1950" s="15">
        <v>45323</v>
      </c>
      <c r="D1950" s="35" t="s">
        <v>33</v>
      </c>
      <c r="E1950" s="7" t="s">
        <v>34</v>
      </c>
      <c r="F1950" s="6"/>
    </row>
    <row r="1951" spans="1:6" ht="15.75" thickBot="1" x14ac:dyDescent="0.3">
      <c r="A1951" s="36"/>
      <c r="B1951" s="7" t="s">
        <v>36</v>
      </c>
      <c r="C1951" s="5">
        <v>1</v>
      </c>
      <c r="D1951" s="36"/>
      <c r="E1951" s="7" t="s">
        <v>37</v>
      </c>
      <c r="F1951" s="6"/>
    </row>
    <row r="1952" spans="1:6" ht="15.75" thickBot="1" x14ac:dyDescent="0.3">
      <c r="A1952" s="36"/>
      <c r="B1952" s="7" t="s">
        <v>39</v>
      </c>
      <c r="C1952" s="15">
        <v>45381</v>
      </c>
      <c r="D1952" s="36"/>
      <c r="E1952" s="7" t="s">
        <v>40</v>
      </c>
      <c r="F1952" s="6"/>
    </row>
    <row r="1953" spans="1:6" ht="15.75" thickBot="1" x14ac:dyDescent="0.3">
      <c r="A1953" s="36"/>
      <c r="B1953" s="7" t="s">
        <v>36</v>
      </c>
      <c r="C1953" s="5">
        <v>1</v>
      </c>
      <c r="D1953" s="36"/>
      <c r="E1953" s="7" t="s">
        <v>41</v>
      </c>
      <c r="F1953" s="6"/>
    </row>
    <row r="1954" spans="1:6" ht="15.75" thickBot="1" x14ac:dyDescent="0.3">
      <c r="A1954" s="2"/>
      <c r="B1954" s="2"/>
      <c r="C1954" s="2"/>
      <c r="D1954" s="2"/>
      <c r="E1954" s="2"/>
      <c r="F1954" s="2"/>
    </row>
    <row r="1955" spans="1:6" ht="15.75" thickBot="1" x14ac:dyDescent="0.3">
      <c r="A1955" s="12" t="s">
        <v>42</v>
      </c>
      <c r="B1955" s="12" t="s">
        <v>43</v>
      </c>
      <c r="C1955" s="12" t="s">
        <v>44</v>
      </c>
      <c r="D1955" s="12" t="s">
        <v>45</v>
      </c>
      <c r="E1955" s="12" t="s">
        <v>46</v>
      </c>
      <c r="F1955" s="12" t="s">
        <v>47</v>
      </c>
    </row>
    <row r="1956" spans="1:6" ht="33.75" x14ac:dyDescent="0.25">
      <c r="A1956" s="8">
        <v>14111514</v>
      </c>
      <c r="B1956" s="9" t="s">
        <v>432</v>
      </c>
      <c r="C1956" s="33" t="s">
        <v>55</v>
      </c>
      <c r="D1956" s="8">
        <v>2400</v>
      </c>
      <c r="E1956" s="11">
        <v>92.04</v>
      </c>
      <c r="F1956" s="10">
        <v>220896.00000000003</v>
      </c>
    </row>
    <row r="1957" spans="1:6" ht="22.5" x14ac:dyDescent="0.25">
      <c r="A1957" s="8">
        <v>44121706</v>
      </c>
      <c r="B1957" s="9" t="s">
        <v>57</v>
      </c>
      <c r="C1957" s="33" t="s">
        <v>49</v>
      </c>
      <c r="D1957" s="8">
        <v>100</v>
      </c>
      <c r="E1957" s="11">
        <v>88.6</v>
      </c>
      <c r="F1957" s="10">
        <v>8860</v>
      </c>
    </row>
    <row r="1958" spans="1:6" x14ac:dyDescent="0.25">
      <c r="A1958" s="8">
        <v>44121701</v>
      </c>
      <c r="B1958" s="9" t="s">
        <v>53</v>
      </c>
      <c r="C1958" s="33" t="s">
        <v>49</v>
      </c>
      <c r="D1958" s="8">
        <v>100</v>
      </c>
      <c r="E1958" s="11">
        <v>109.84</v>
      </c>
      <c r="F1958" s="10">
        <v>10984</v>
      </c>
    </row>
    <row r="1959" spans="1:6" x14ac:dyDescent="0.25">
      <c r="A1959" s="8">
        <v>53121603</v>
      </c>
      <c r="B1959" s="9" t="s">
        <v>491</v>
      </c>
      <c r="C1959" s="33" t="s">
        <v>55</v>
      </c>
      <c r="D1959" s="8">
        <v>600</v>
      </c>
      <c r="E1959" s="11">
        <v>973.5</v>
      </c>
      <c r="F1959" s="10">
        <v>584100</v>
      </c>
    </row>
    <row r="1960" spans="1:6" x14ac:dyDescent="0.25">
      <c r="A1960" s="8">
        <v>44121804</v>
      </c>
      <c r="B1960" s="9" t="s">
        <v>228</v>
      </c>
      <c r="C1960" s="33" t="s">
        <v>55</v>
      </c>
      <c r="D1960" s="8">
        <v>600</v>
      </c>
      <c r="E1960" s="11">
        <v>51.92</v>
      </c>
      <c r="F1960" s="10">
        <v>31152</v>
      </c>
    </row>
    <row r="1961" spans="1:6" ht="22.5" x14ac:dyDescent="0.25">
      <c r="A1961" s="8">
        <v>44121619</v>
      </c>
      <c r="B1961" s="9" t="s">
        <v>237</v>
      </c>
      <c r="C1961" s="33" t="s">
        <v>55</v>
      </c>
      <c r="D1961" s="8">
        <v>600</v>
      </c>
      <c r="E1961" s="11">
        <v>23.6</v>
      </c>
      <c r="F1961" s="10">
        <v>14160</v>
      </c>
    </row>
    <row r="1962" spans="1:6" ht="33.75" x14ac:dyDescent="0.25">
      <c r="A1962" s="8">
        <v>44111509</v>
      </c>
      <c r="B1962" s="9" t="s">
        <v>238</v>
      </c>
      <c r="C1962" s="33" t="s">
        <v>55</v>
      </c>
      <c r="D1962" s="8">
        <v>600</v>
      </c>
      <c r="E1962" s="11">
        <v>135.69999999999999</v>
      </c>
      <c r="F1962" s="10">
        <v>81420</v>
      </c>
    </row>
    <row r="1963" spans="1:6" ht="56.25" x14ac:dyDescent="0.25">
      <c r="A1963" s="8">
        <v>52152002</v>
      </c>
      <c r="B1963" s="9" t="s">
        <v>492</v>
      </c>
      <c r="C1963" s="33" t="s">
        <v>55</v>
      </c>
      <c r="D1963" s="8">
        <v>600</v>
      </c>
      <c r="E1963" s="11">
        <v>722.75</v>
      </c>
      <c r="F1963" s="10">
        <v>433650</v>
      </c>
    </row>
    <row r="1964" spans="1:6" x14ac:dyDescent="0.25">
      <c r="A1964" s="8">
        <v>44111803</v>
      </c>
      <c r="B1964" s="9" t="s">
        <v>493</v>
      </c>
      <c r="C1964" s="33" t="s">
        <v>55</v>
      </c>
      <c r="D1964" s="8">
        <v>600</v>
      </c>
      <c r="E1964" s="11">
        <v>45.78</v>
      </c>
      <c r="F1964" s="10">
        <v>27468</v>
      </c>
    </row>
    <row r="1965" spans="1:6" ht="22.5" x14ac:dyDescent="0.25">
      <c r="A1965" s="8">
        <v>44111812</v>
      </c>
      <c r="B1965" s="9" t="s">
        <v>494</v>
      </c>
      <c r="C1965" s="33" t="s">
        <v>55</v>
      </c>
      <c r="D1965" s="8">
        <v>600</v>
      </c>
      <c r="E1965" s="11">
        <v>37.909999999999997</v>
      </c>
      <c r="F1965" s="10">
        <v>22745.999999999996</v>
      </c>
    </row>
    <row r="1966" spans="1:6" ht="22.5" x14ac:dyDescent="0.25">
      <c r="A1966" s="8">
        <v>44121707</v>
      </c>
      <c r="B1966" s="9" t="s">
        <v>495</v>
      </c>
      <c r="C1966" s="33" t="s">
        <v>49</v>
      </c>
      <c r="D1966" s="8">
        <v>600</v>
      </c>
      <c r="E1966" s="11">
        <v>107.43</v>
      </c>
      <c r="F1966" s="10">
        <v>64458.000000000007</v>
      </c>
    </row>
    <row r="1967" spans="1:6" x14ac:dyDescent="0.25">
      <c r="A1967" s="2"/>
      <c r="B1967" s="2"/>
      <c r="C1967" s="2"/>
      <c r="D1967" s="2"/>
      <c r="E1967" s="13" t="s">
        <v>87</v>
      </c>
      <c r="F1967" s="14">
        <v>1499894</v>
      </c>
    </row>
    <row r="1968" spans="1:6" ht="15.75" thickBot="1" x14ac:dyDescent="0.3">
      <c r="A1968" s="1"/>
      <c r="B1968" s="1"/>
      <c r="C1968" s="1"/>
      <c r="D1968" s="1"/>
      <c r="E1968" s="1"/>
      <c r="F1968" s="1"/>
    </row>
    <row r="1969" spans="1:6" ht="34.5" thickBot="1" x14ac:dyDescent="0.3">
      <c r="A1969" s="4" t="s">
        <v>19</v>
      </c>
      <c r="B1969" s="4" t="s">
        <v>20</v>
      </c>
      <c r="C1969" s="4" t="s">
        <v>21</v>
      </c>
      <c r="D1969" s="4" t="s">
        <v>22</v>
      </c>
      <c r="E1969" s="4" t="s">
        <v>23</v>
      </c>
      <c r="F1969" s="4" t="s">
        <v>24</v>
      </c>
    </row>
    <row r="1970" spans="1:6" ht="15.75" thickBot="1" x14ac:dyDescent="0.3">
      <c r="A1970" s="32" t="s">
        <v>502</v>
      </c>
      <c r="B1970" s="32" t="s">
        <v>503</v>
      </c>
      <c r="C1970" s="32" t="s">
        <v>27</v>
      </c>
      <c r="D1970" s="6" t="s">
        <v>188</v>
      </c>
      <c r="E1970" s="6" t="s">
        <v>262</v>
      </c>
      <c r="F1970" s="6"/>
    </row>
    <row r="1971" spans="1:6" ht="15.75" thickBot="1" x14ac:dyDescent="0.3">
      <c r="A1971" s="35" t="s">
        <v>31</v>
      </c>
      <c r="B1971" s="7" t="s">
        <v>32</v>
      </c>
      <c r="C1971" s="15">
        <v>45323</v>
      </c>
      <c r="D1971" s="35" t="s">
        <v>33</v>
      </c>
      <c r="E1971" s="7" t="s">
        <v>34</v>
      </c>
      <c r="F1971" s="6"/>
    </row>
    <row r="1972" spans="1:6" ht="15.75" thickBot="1" x14ac:dyDescent="0.3">
      <c r="A1972" s="36"/>
      <c r="B1972" s="7" t="s">
        <v>36</v>
      </c>
      <c r="C1972" s="5">
        <v>1</v>
      </c>
      <c r="D1972" s="36"/>
      <c r="E1972" s="7" t="s">
        <v>37</v>
      </c>
      <c r="F1972" s="6"/>
    </row>
    <row r="1973" spans="1:6" ht="15.75" thickBot="1" x14ac:dyDescent="0.3">
      <c r="A1973" s="36"/>
      <c r="B1973" s="7" t="s">
        <v>39</v>
      </c>
      <c r="C1973" s="15">
        <v>45381</v>
      </c>
      <c r="D1973" s="36"/>
      <c r="E1973" s="7" t="s">
        <v>40</v>
      </c>
      <c r="F1973" s="6"/>
    </row>
    <row r="1974" spans="1:6" ht="15.75" thickBot="1" x14ac:dyDescent="0.3">
      <c r="A1974" s="36"/>
      <c r="B1974" s="7" t="s">
        <v>36</v>
      </c>
      <c r="C1974" s="5">
        <v>1</v>
      </c>
      <c r="D1974" s="36"/>
      <c r="E1974" s="7" t="s">
        <v>41</v>
      </c>
      <c r="F1974" s="6"/>
    </row>
    <row r="1975" spans="1:6" ht="15.75" thickBot="1" x14ac:dyDescent="0.3">
      <c r="A1975" s="2"/>
      <c r="B1975" s="2"/>
      <c r="C1975" s="2"/>
      <c r="D1975" s="2"/>
      <c r="E1975" s="2"/>
      <c r="F1975" s="2"/>
    </row>
    <row r="1976" spans="1:6" ht="15.75" thickBot="1" x14ac:dyDescent="0.3">
      <c r="A1976" s="12" t="s">
        <v>42</v>
      </c>
      <c r="B1976" s="12" t="s">
        <v>43</v>
      </c>
      <c r="C1976" s="12" t="s">
        <v>44</v>
      </c>
      <c r="D1976" s="12" t="s">
        <v>45</v>
      </c>
      <c r="E1976" s="12" t="s">
        <v>46</v>
      </c>
      <c r="F1976" s="12" t="s">
        <v>47</v>
      </c>
    </row>
    <row r="1977" spans="1:6" x14ac:dyDescent="0.25">
      <c r="A1977" s="8">
        <v>52131501</v>
      </c>
      <c r="B1977" s="9" t="s">
        <v>306</v>
      </c>
      <c r="C1977" s="33" t="s">
        <v>55</v>
      </c>
      <c r="D1977" s="8">
        <v>4</v>
      </c>
      <c r="E1977" s="11">
        <v>22000</v>
      </c>
      <c r="F1977" s="10">
        <v>88000</v>
      </c>
    </row>
    <row r="1978" spans="1:6" x14ac:dyDescent="0.25">
      <c r="A1978" s="2"/>
      <c r="B1978" s="2"/>
      <c r="C1978" s="2"/>
      <c r="D1978" s="2"/>
      <c r="E1978" s="13" t="s">
        <v>87</v>
      </c>
      <c r="F1978" s="14">
        <v>88000</v>
      </c>
    </row>
    <row r="1979" spans="1:6" ht="15.75" thickBot="1" x14ac:dyDescent="0.3">
      <c r="A1979" s="1"/>
      <c r="B1979" s="1"/>
      <c r="C1979" s="1"/>
      <c r="D1979" s="1"/>
      <c r="E1979" s="1"/>
      <c r="F1979" s="1"/>
    </row>
    <row r="1980" spans="1:6" ht="34.5" thickBot="1" x14ac:dyDescent="0.3">
      <c r="A1980" s="4" t="s">
        <v>19</v>
      </c>
      <c r="B1980" s="4" t="s">
        <v>20</v>
      </c>
      <c r="C1980" s="4" t="s">
        <v>21</v>
      </c>
      <c r="D1980" s="4" t="s">
        <v>22</v>
      </c>
      <c r="E1980" s="4" t="s">
        <v>23</v>
      </c>
      <c r="F1980" s="4" t="s">
        <v>24</v>
      </c>
    </row>
    <row r="1981" spans="1:6" ht="15.75" thickBot="1" x14ac:dyDescent="0.3">
      <c r="A1981" s="32" t="s">
        <v>502</v>
      </c>
      <c r="B1981" s="32" t="s">
        <v>503</v>
      </c>
      <c r="C1981" s="32" t="s">
        <v>27</v>
      </c>
      <c r="D1981" s="6" t="s">
        <v>28</v>
      </c>
      <c r="E1981" s="6" t="s">
        <v>262</v>
      </c>
      <c r="F1981" s="6"/>
    </row>
    <row r="1982" spans="1:6" ht="15.75" thickBot="1" x14ac:dyDescent="0.3">
      <c r="A1982" s="35" t="s">
        <v>31</v>
      </c>
      <c r="B1982" s="7" t="s">
        <v>32</v>
      </c>
      <c r="C1982" s="15">
        <v>45323</v>
      </c>
      <c r="D1982" s="35" t="s">
        <v>33</v>
      </c>
      <c r="E1982" s="7" t="s">
        <v>34</v>
      </c>
      <c r="F1982" s="6"/>
    </row>
    <row r="1983" spans="1:6" ht="15.75" thickBot="1" x14ac:dyDescent="0.3">
      <c r="A1983" s="36"/>
      <c r="B1983" s="7" t="s">
        <v>36</v>
      </c>
      <c r="C1983" s="5">
        <v>1</v>
      </c>
      <c r="D1983" s="36"/>
      <c r="E1983" s="7" t="s">
        <v>37</v>
      </c>
      <c r="F1983" s="6"/>
    </row>
    <row r="1984" spans="1:6" ht="15.75" thickBot="1" x14ac:dyDescent="0.3">
      <c r="A1984" s="36"/>
      <c r="B1984" s="7" t="s">
        <v>39</v>
      </c>
      <c r="C1984" s="15">
        <v>45381</v>
      </c>
      <c r="D1984" s="36"/>
      <c r="E1984" s="7" t="s">
        <v>40</v>
      </c>
      <c r="F1984" s="6"/>
    </row>
    <row r="1985" spans="1:6" ht="15.75" thickBot="1" x14ac:dyDescent="0.3">
      <c r="A1985" s="36"/>
      <c r="B1985" s="7" t="s">
        <v>36</v>
      </c>
      <c r="C1985" s="5">
        <v>1</v>
      </c>
      <c r="D1985" s="36"/>
      <c r="E1985" s="7" t="s">
        <v>41</v>
      </c>
      <c r="F1985" s="6"/>
    </row>
    <row r="1986" spans="1:6" ht="15.75" thickBot="1" x14ac:dyDescent="0.3">
      <c r="A1986" s="2"/>
      <c r="B1986" s="2"/>
      <c r="C1986" s="2"/>
      <c r="D1986" s="2"/>
      <c r="E1986" s="2"/>
      <c r="F1986" s="2"/>
    </row>
    <row r="1987" spans="1:6" ht="15.75" thickBot="1" x14ac:dyDescent="0.3">
      <c r="A1987" s="12" t="s">
        <v>42</v>
      </c>
      <c r="B1987" s="12" t="s">
        <v>43</v>
      </c>
      <c r="C1987" s="12" t="s">
        <v>44</v>
      </c>
      <c r="D1987" s="12" t="s">
        <v>45</v>
      </c>
      <c r="E1987" s="12" t="s">
        <v>46</v>
      </c>
      <c r="F1987" s="12" t="s">
        <v>47</v>
      </c>
    </row>
    <row r="1988" spans="1:6" x14ac:dyDescent="0.25">
      <c r="A1988" s="8">
        <v>52131501</v>
      </c>
      <c r="B1988" s="9" t="s">
        <v>306</v>
      </c>
      <c r="C1988" s="33" t="s">
        <v>55</v>
      </c>
      <c r="D1988" s="8">
        <v>10</v>
      </c>
      <c r="E1988" s="11">
        <v>22000</v>
      </c>
      <c r="F1988" s="10">
        <v>220000</v>
      </c>
    </row>
    <row r="1989" spans="1:6" x14ac:dyDescent="0.25">
      <c r="A1989" s="2"/>
      <c r="B1989" s="2"/>
      <c r="C1989" s="2"/>
      <c r="D1989" s="2"/>
      <c r="E1989" s="13" t="s">
        <v>87</v>
      </c>
      <c r="F1989" s="14">
        <v>220000</v>
      </c>
    </row>
    <row r="1990" spans="1:6" ht="15.75" thickBot="1" x14ac:dyDescent="0.3">
      <c r="A1990" s="1"/>
      <c r="B1990" s="1"/>
      <c r="C1990" s="1"/>
      <c r="D1990" s="1"/>
      <c r="E1990" s="1"/>
      <c r="F1990" s="1"/>
    </row>
    <row r="1991" spans="1:6" ht="34.5" thickBot="1" x14ac:dyDescent="0.3">
      <c r="A1991" s="4" t="s">
        <v>19</v>
      </c>
      <c r="B1991" s="4" t="s">
        <v>20</v>
      </c>
      <c r="C1991" s="4" t="s">
        <v>21</v>
      </c>
      <c r="D1991" s="4" t="s">
        <v>22</v>
      </c>
      <c r="E1991" s="4" t="s">
        <v>23</v>
      </c>
      <c r="F1991" s="4" t="s">
        <v>24</v>
      </c>
    </row>
    <row r="1992" spans="1:6" ht="15.75" thickBot="1" x14ac:dyDescent="0.3">
      <c r="A1992" s="32" t="s">
        <v>462</v>
      </c>
      <c r="B1992" s="32" t="s">
        <v>463</v>
      </c>
      <c r="C1992" s="32" t="s">
        <v>27</v>
      </c>
      <c r="D1992" s="6" t="s">
        <v>28</v>
      </c>
      <c r="E1992" s="6" t="s">
        <v>262</v>
      </c>
      <c r="F1992" s="6"/>
    </row>
    <row r="1993" spans="1:6" ht="15.75" thickBot="1" x14ac:dyDescent="0.3">
      <c r="A1993" s="35" t="s">
        <v>31</v>
      </c>
      <c r="B1993" s="7" t="s">
        <v>32</v>
      </c>
      <c r="C1993" s="15">
        <v>45323</v>
      </c>
      <c r="D1993" s="35" t="s">
        <v>33</v>
      </c>
      <c r="E1993" s="7" t="s">
        <v>34</v>
      </c>
      <c r="F1993" s="6"/>
    </row>
    <row r="1994" spans="1:6" ht="15.75" thickBot="1" x14ac:dyDescent="0.3">
      <c r="A1994" s="36"/>
      <c r="B1994" s="7" t="s">
        <v>36</v>
      </c>
      <c r="C1994" s="5">
        <v>1</v>
      </c>
      <c r="D1994" s="36"/>
      <c r="E1994" s="7" t="s">
        <v>37</v>
      </c>
      <c r="F1994" s="6"/>
    </row>
    <row r="1995" spans="1:6" ht="15.75" thickBot="1" x14ac:dyDescent="0.3">
      <c r="A1995" s="36"/>
      <c r="B1995" s="7" t="s">
        <v>39</v>
      </c>
      <c r="C1995" s="15">
        <v>45381</v>
      </c>
      <c r="D1995" s="36"/>
      <c r="E1995" s="7" t="s">
        <v>40</v>
      </c>
      <c r="F1995" s="6"/>
    </row>
    <row r="1996" spans="1:6" ht="15.75" thickBot="1" x14ac:dyDescent="0.3">
      <c r="A1996" s="36"/>
      <c r="B1996" s="7" t="s">
        <v>36</v>
      </c>
      <c r="C1996" s="5">
        <v>1</v>
      </c>
      <c r="D1996" s="36"/>
      <c r="E1996" s="7" t="s">
        <v>41</v>
      </c>
      <c r="F1996" s="6"/>
    </row>
    <row r="1997" spans="1:6" ht="15.75" thickBot="1" x14ac:dyDescent="0.3">
      <c r="A1997" s="2"/>
      <c r="B1997" s="2"/>
      <c r="C1997" s="2"/>
      <c r="D1997" s="2"/>
      <c r="E1997" s="2"/>
      <c r="F1997" s="2"/>
    </row>
    <row r="1998" spans="1:6" ht="15.75" thickBot="1" x14ac:dyDescent="0.3">
      <c r="A1998" s="12" t="s">
        <v>42</v>
      </c>
      <c r="B1998" s="12" t="s">
        <v>43</v>
      </c>
      <c r="C1998" s="12" t="s">
        <v>44</v>
      </c>
      <c r="D1998" s="12" t="s">
        <v>45</v>
      </c>
      <c r="E1998" s="12" t="s">
        <v>46</v>
      </c>
      <c r="F1998" s="12" t="s">
        <v>47</v>
      </c>
    </row>
    <row r="1999" spans="1:6" ht="45" x14ac:dyDescent="0.25">
      <c r="A1999" s="8">
        <v>50161509</v>
      </c>
      <c r="B1999" s="9" t="s">
        <v>173</v>
      </c>
      <c r="C1999" s="33" t="s">
        <v>74</v>
      </c>
      <c r="D1999" s="8">
        <v>500</v>
      </c>
      <c r="E1999" s="11">
        <v>83.78</v>
      </c>
      <c r="F1999" s="10">
        <v>41890</v>
      </c>
    </row>
    <row r="2000" spans="1:6" ht="22.5" x14ac:dyDescent="0.25">
      <c r="A2000" s="8">
        <v>50221101</v>
      </c>
      <c r="B2000" s="9" t="s">
        <v>464</v>
      </c>
      <c r="C2000" s="33" t="s">
        <v>74</v>
      </c>
      <c r="D2000" s="8">
        <v>500</v>
      </c>
      <c r="E2000" s="11">
        <v>231.38</v>
      </c>
      <c r="F2000" s="10">
        <v>115690</v>
      </c>
    </row>
    <row r="2001" spans="1:6" ht="45" x14ac:dyDescent="0.25">
      <c r="A2001" s="8">
        <v>50151513</v>
      </c>
      <c r="B2001" s="9" t="s">
        <v>465</v>
      </c>
      <c r="C2001" s="33" t="s">
        <v>55</v>
      </c>
      <c r="D2001" s="8">
        <v>500</v>
      </c>
      <c r="E2001" s="11">
        <v>132.16</v>
      </c>
      <c r="F2001" s="10">
        <v>66080</v>
      </c>
    </row>
    <row r="2002" spans="1:6" ht="22.5" x14ac:dyDescent="0.25">
      <c r="A2002" s="8">
        <v>50192111</v>
      </c>
      <c r="B2002" s="9" t="s">
        <v>466</v>
      </c>
      <c r="C2002" s="33" t="s">
        <v>55</v>
      </c>
      <c r="D2002" s="8">
        <v>500</v>
      </c>
      <c r="E2002" s="11">
        <v>619.5</v>
      </c>
      <c r="F2002" s="10">
        <v>309750</v>
      </c>
    </row>
    <row r="2003" spans="1:6" x14ac:dyDescent="0.25">
      <c r="A2003" s="8">
        <v>50201706</v>
      </c>
      <c r="B2003" s="9" t="s">
        <v>168</v>
      </c>
      <c r="C2003" s="33" t="s">
        <v>74</v>
      </c>
      <c r="D2003" s="8">
        <v>500</v>
      </c>
      <c r="E2003" s="11">
        <v>188.8</v>
      </c>
      <c r="F2003" s="10">
        <v>94400</v>
      </c>
    </row>
    <row r="2004" spans="1:6" ht="22.5" x14ac:dyDescent="0.25">
      <c r="A2004" s="8">
        <v>50171831</v>
      </c>
      <c r="B2004" s="9" t="s">
        <v>467</v>
      </c>
      <c r="C2004" s="33" t="s">
        <v>55</v>
      </c>
      <c r="D2004" s="8">
        <v>500</v>
      </c>
      <c r="E2004" s="11">
        <v>105.2</v>
      </c>
      <c r="F2004" s="10">
        <v>52600</v>
      </c>
    </row>
    <row r="2005" spans="1:6" ht="33.75" x14ac:dyDescent="0.25">
      <c r="A2005" s="8">
        <v>50121538</v>
      </c>
      <c r="B2005" s="9" t="s">
        <v>468</v>
      </c>
      <c r="C2005" s="33" t="s">
        <v>55</v>
      </c>
      <c r="D2005" s="8">
        <v>500</v>
      </c>
      <c r="E2005" s="11">
        <v>142.78</v>
      </c>
      <c r="F2005" s="10">
        <v>71390</v>
      </c>
    </row>
    <row r="2006" spans="1:6" ht="22.5" x14ac:dyDescent="0.25">
      <c r="A2006" s="8">
        <v>50192902</v>
      </c>
      <c r="B2006" s="9" t="s">
        <v>469</v>
      </c>
      <c r="C2006" s="33" t="s">
        <v>55</v>
      </c>
      <c r="D2006" s="8">
        <v>500</v>
      </c>
      <c r="E2006" s="11">
        <v>48.38</v>
      </c>
      <c r="F2006" s="10">
        <v>24190</v>
      </c>
    </row>
    <row r="2007" spans="1:6" x14ac:dyDescent="0.25">
      <c r="A2007" s="8">
        <v>50101543</v>
      </c>
      <c r="B2007" s="9" t="s">
        <v>470</v>
      </c>
      <c r="C2007" s="33" t="s">
        <v>55</v>
      </c>
      <c r="D2007" s="8">
        <v>500</v>
      </c>
      <c r="E2007" s="11">
        <v>178.18</v>
      </c>
      <c r="F2007" s="10">
        <v>89090</v>
      </c>
    </row>
    <row r="2008" spans="1:6" ht="45" x14ac:dyDescent="0.25">
      <c r="A2008" s="8">
        <v>50131701</v>
      </c>
      <c r="B2008" s="9" t="s">
        <v>171</v>
      </c>
      <c r="C2008" s="33" t="s">
        <v>55</v>
      </c>
      <c r="D2008" s="8">
        <v>500</v>
      </c>
      <c r="E2008" s="11">
        <v>384.68</v>
      </c>
      <c r="F2008" s="10">
        <v>192340</v>
      </c>
    </row>
    <row r="2009" spans="1:6" ht="33.75" x14ac:dyDescent="0.25">
      <c r="A2009" s="8">
        <v>50121538</v>
      </c>
      <c r="B2009" s="9" t="s">
        <v>468</v>
      </c>
      <c r="C2009" s="33" t="s">
        <v>55</v>
      </c>
      <c r="D2009" s="8">
        <v>500</v>
      </c>
      <c r="E2009" s="11">
        <v>148.68</v>
      </c>
      <c r="F2009" s="10">
        <v>74340</v>
      </c>
    </row>
    <row r="2010" spans="1:6" x14ac:dyDescent="0.25">
      <c r="A2010" s="8">
        <v>50101542</v>
      </c>
      <c r="B2010" s="9" t="s">
        <v>471</v>
      </c>
      <c r="C2010" s="33" t="s">
        <v>55</v>
      </c>
      <c r="D2010" s="8">
        <v>500</v>
      </c>
      <c r="E2010" s="11">
        <v>34.22</v>
      </c>
      <c r="F2010" s="10">
        <v>17110</v>
      </c>
    </row>
    <row r="2011" spans="1:6" ht="33.75" x14ac:dyDescent="0.25">
      <c r="A2011" s="8">
        <v>50161511</v>
      </c>
      <c r="B2011" s="9" t="s">
        <v>169</v>
      </c>
      <c r="C2011" s="33" t="s">
        <v>55</v>
      </c>
      <c r="D2011" s="8">
        <v>500</v>
      </c>
      <c r="E2011" s="11">
        <v>112.1</v>
      </c>
      <c r="F2011" s="10">
        <v>56050</v>
      </c>
    </row>
    <row r="2012" spans="1:6" ht="22.5" x14ac:dyDescent="0.25">
      <c r="A2012" s="8">
        <v>50221101</v>
      </c>
      <c r="B2012" s="9" t="s">
        <v>464</v>
      </c>
      <c r="C2012" s="33" t="s">
        <v>55</v>
      </c>
      <c r="D2012" s="8">
        <v>500</v>
      </c>
      <c r="E2012" s="11">
        <v>113.28</v>
      </c>
      <c r="F2012" s="10">
        <v>56640</v>
      </c>
    </row>
    <row r="2013" spans="1:6" x14ac:dyDescent="0.25">
      <c r="A2013" s="2"/>
      <c r="B2013" s="2"/>
      <c r="C2013" s="2"/>
      <c r="D2013" s="2"/>
      <c r="E2013" s="13" t="s">
        <v>87</v>
      </c>
      <c r="F2013" s="14">
        <v>1261560</v>
      </c>
    </row>
    <row r="2014" spans="1:6" ht="15.75" thickBot="1" x14ac:dyDescent="0.3">
      <c r="A2014" s="1"/>
      <c r="B2014" s="1"/>
      <c r="C2014" s="1"/>
      <c r="D2014" s="1"/>
      <c r="E2014" s="1"/>
      <c r="F2014" s="1"/>
    </row>
    <row r="2015" spans="1:6" ht="34.5" thickBot="1" x14ac:dyDescent="0.3">
      <c r="A2015" s="4" t="s">
        <v>19</v>
      </c>
      <c r="B2015" s="4" t="s">
        <v>20</v>
      </c>
      <c r="C2015" s="4" t="s">
        <v>21</v>
      </c>
      <c r="D2015" s="4" t="s">
        <v>22</v>
      </c>
      <c r="E2015" s="4" t="s">
        <v>23</v>
      </c>
      <c r="F2015" s="4" t="s">
        <v>24</v>
      </c>
    </row>
    <row r="2016" spans="1:6" ht="15.75" thickBot="1" x14ac:dyDescent="0.3">
      <c r="A2016" s="32" t="s">
        <v>504</v>
      </c>
      <c r="B2016" s="32" t="s">
        <v>505</v>
      </c>
      <c r="C2016" s="32" t="s">
        <v>129</v>
      </c>
      <c r="D2016" s="6" t="s">
        <v>28</v>
      </c>
      <c r="E2016" s="6" t="s">
        <v>262</v>
      </c>
      <c r="F2016" s="6"/>
    </row>
    <row r="2017" spans="1:6" ht="15.75" thickBot="1" x14ac:dyDescent="0.3">
      <c r="A2017" s="35" t="s">
        <v>31</v>
      </c>
      <c r="B2017" s="7" t="s">
        <v>32</v>
      </c>
      <c r="C2017" s="15">
        <v>45323</v>
      </c>
      <c r="D2017" s="35" t="s">
        <v>33</v>
      </c>
      <c r="E2017" s="7" t="s">
        <v>34</v>
      </c>
      <c r="F2017" s="6"/>
    </row>
    <row r="2018" spans="1:6" ht="15.75" thickBot="1" x14ac:dyDescent="0.3">
      <c r="A2018" s="36"/>
      <c r="B2018" s="7" t="s">
        <v>36</v>
      </c>
      <c r="C2018" s="5">
        <v>1</v>
      </c>
      <c r="D2018" s="36"/>
      <c r="E2018" s="7" t="s">
        <v>37</v>
      </c>
      <c r="F2018" s="6"/>
    </row>
    <row r="2019" spans="1:6" ht="15.75" thickBot="1" x14ac:dyDescent="0.3">
      <c r="A2019" s="36"/>
      <c r="B2019" s="7" t="s">
        <v>39</v>
      </c>
      <c r="C2019" s="15">
        <v>45381</v>
      </c>
      <c r="D2019" s="36"/>
      <c r="E2019" s="7" t="s">
        <v>40</v>
      </c>
      <c r="F2019" s="6"/>
    </row>
    <row r="2020" spans="1:6" ht="15.75" thickBot="1" x14ac:dyDescent="0.3">
      <c r="A2020" s="36"/>
      <c r="B2020" s="7" t="s">
        <v>36</v>
      </c>
      <c r="C2020" s="5">
        <v>1</v>
      </c>
      <c r="D2020" s="36"/>
      <c r="E2020" s="7" t="s">
        <v>41</v>
      </c>
      <c r="F2020" s="6"/>
    </row>
    <row r="2021" spans="1:6" ht="15.75" thickBot="1" x14ac:dyDescent="0.3">
      <c r="A2021" s="2"/>
      <c r="B2021" s="2"/>
      <c r="C2021" s="2"/>
      <c r="D2021" s="2"/>
      <c r="E2021" s="2"/>
      <c r="F2021" s="2"/>
    </row>
    <row r="2022" spans="1:6" ht="15.75" thickBot="1" x14ac:dyDescent="0.3">
      <c r="A2022" s="12" t="s">
        <v>42</v>
      </c>
      <c r="B2022" s="12" t="s">
        <v>43</v>
      </c>
      <c r="C2022" s="12" t="s">
        <v>44</v>
      </c>
      <c r="D2022" s="12" t="s">
        <v>45</v>
      </c>
      <c r="E2022" s="12" t="s">
        <v>46</v>
      </c>
      <c r="F2022" s="12" t="s">
        <v>47</v>
      </c>
    </row>
    <row r="2023" spans="1:6" ht="22.5" x14ac:dyDescent="0.25">
      <c r="A2023" s="8">
        <v>90121502</v>
      </c>
      <c r="B2023" s="9" t="s">
        <v>506</v>
      </c>
      <c r="C2023" s="33" t="s">
        <v>55</v>
      </c>
      <c r="D2023" s="8">
        <v>1</v>
      </c>
      <c r="E2023" s="11">
        <v>950000</v>
      </c>
      <c r="F2023" s="10">
        <v>950000</v>
      </c>
    </row>
    <row r="2024" spans="1:6" ht="22.5" x14ac:dyDescent="0.25">
      <c r="A2024" s="8">
        <v>80141607</v>
      </c>
      <c r="B2024" s="9" t="s">
        <v>156</v>
      </c>
      <c r="C2024" s="33" t="s">
        <v>55</v>
      </c>
      <c r="D2024" s="8">
        <v>1</v>
      </c>
      <c r="E2024" s="11">
        <v>800000</v>
      </c>
      <c r="F2024" s="10">
        <v>800000</v>
      </c>
    </row>
    <row r="2025" spans="1:6" x14ac:dyDescent="0.25">
      <c r="A2025" s="2"/>
      <c r="B2025" s="2"/>
      <c r="C2025" s="2"/>
      <c r="D2025" s="2"/>
      <c r="E2025" s="13" t="s">
        <v>87</v>
      </c>
      <c r="F2025" s="14">
        <v>1750000</v>
      </c>
    </row>
    <row r="2026" spans="1:6" ht="15.75" thickBot="1" x14ac:dyDescent="0.3">
      <c r="A2026" s="1"/>
      <c r="B2026" s="1"/>
      <c r="C2026" s="1"/>
      <c r="D2026" s="1"/>
      <c r="E2026" s="1"/>
      <c r="F2026" s="1"/>
    </row>
    <row r="2027" spans="1:6" ht="34.5" thickBot="1" x14ac:dyDescent="0.3">
      <c r="A2027" s="4" t="s">
        <v>19</v>
      </c>
      <c r="B2027" s="4" t="s">
        <v>20</v>
      </c>
      <c r="C2027" s="4" t="s">
        <v>21</v>
      </c>
      <c r="D2027" s="4" t="s">
        <v>22</v>
      </c>
      <c r="E2027" s="4" t="s">
        <v>23</v>
      </c>
      <c r="F2027" s="4" t="s">
        <v>24</v>
      </c>
    </row>
    <row r="2028" spans="1:6" ht="15.75" thickBot="1" x14ac:dyDescent="0.3">
      <c r="A2028" s="32" t="s">
        <v>507</v>
      </c>
      <c r="B2028" s="32" t="s">
        <v>508</v>
      </c>
      <c r="C2028" s="32" t="s">
        <v>129</v>
      </c>
      <c r="D2028" s="6" t="s">
        <v>28</v>
      </c>
      <c r="E2028" s="6" t="s">
        <v>262</v>
      </c>
      <c r="F2028" s="6"/>
    </row>
    <row r="2029" spans="1:6" ht="15.75" thickBot="1" x14ac:dyDescent="0.3">
      <c r="A2029" s="35" t="s">
        <v>31</v>
      </c>
      <c r="B2029" s="7" t="s">
        <v>32</v>
      </c>
      <c r="C2029" s="15">
        <v>45323</v>
      </c>
      <c r="D2029" s="35" t="s">
        <v>33</v>
      </c>
      <c r="E2029" s="7" t="s">
        <v>34</v>
      </c>
      <c r="F2029" s="6"/>
    </row>
    <row r="2030" spans="1:6" ht="15.75" thickBot="1" x14ac:dyDescent="0.3">
      <c r="A2030" s="36"/>
      <c r="B2030" s="7" t="s">
        <v>36</v>
      </c>
      <c r="C2030" s="5">
        <v>1</v>
      </c>
      <c r="D2030" s="36"/>
      <c r="E2030" s="7" t="s">
        <v>37</v>
      </c>
      <c r="F2030" s="6"/>
    </row>
    <row r="2031" spans="1:6" ht="15.75" thickBot="1" x14ac:dyDescent="0.3">
      <c r="A2031" s="36"/>
      <c r="B2031" s="7" t="s">
        <v>39</v>
      </c>
      <c r="C2031" s="15">
        <v>45381</v>
      </c>
      <c r="D2031" s="36"/>
      <c r="E2031" s="7" t="s">
        <v>40</v>
      </c>
      <c r="F2031" s="6"/>
    </row>
    <row r="2032" spans="1:6" ht="15.75" thickBot="1" x14ac:dyDescent="0.3">
      <c r="A2032" s="36"/>
      <c r="B2032" s="7" t="s">
        <v>36</v>
      </c>
      <c r="C2032" s="5">
        <v>1</v>
      </c>
      <c r="D2032" s="36"/>
      <c r="E2032" s="7" t="s">
        <v>41</v>
      </c>
      <c r="F2032" s="6"/>
    </row>
    <row r="2033" spans="1:6" ht="15.75" thickBot="1" x14ac:dyDescent="0.3">
      <c r="A2033" s="2"/>
      <c r="B2033" s="2"/>
      <c r="C2033" s="2"/>
      <c r="D2033" s="2"/>
      <c r="E2033" s="2"/>
      <c r="F2033" s="2"/>
    </row>
    <row r="2034" spans="1:6" ht="15.75" thickBot="1" x14ac:dyDescent="0.3">
      <c r="A2034" s="12" t="s">
        <v>42</v>
      </c>
      <c r="B2034" s="12" t="s">
        <v>43</v>
      </c>
      <c r="C2034" s="12" t="s">
        <v>44</v>
      </c>
      <c r="D2034" s="12" t="s">
        <v>45</v>
      </c>
      <c r="E2034" s="12" t="s">
        <v>46</v>
      </c>
      <c r="F2034" s="12" t="s">
        <v>47</v>
      </c>
    </row>
    <row r="2035" spans="1:6" ht="56.25" x14ac:dyDescent="0.25">
      <c r="A2035" s="8">
        <v>80131502</v>
      </c>
      <c r="B2035" s="9" t="s">
        <v>509</v>
      </c>
      <c r="C2035" s="33" t="s">
        <v>55</v>
      </c>
      <c r="D2035" s="8">
        <v>1</v>
      </c>
      <c r="E2035" s="11">
        <v>1750000</v>
      </c>
      <c r="F2035" s="10">
        <v>1750000</v>
      </c>
    </row>
    <row r="2036" spans="1:6" x14ac:dyDescent="0.25">
      <c r="A2036" s="2"/>
      <c r="B2036" s="2"/>
      <c r="C2036" s="2"/>
      <c r="D2036" s="2"/>
      <c r="E2036" s="13" t="s">
        <v>87</v>
      </c>
      <c r="F2036" s="14">
        <v>1750000</v>
      </c>
    </row>
    <row r="2037" spans="1:6" ht="15.75" thickBot="1" x14ac:dyDescent="0.3">
      <c r="A2037" s="1"/>
      <c r="B2037" s="1"/>
      <c r="C2037" s="1"/>
      <c r="D2037" s="1"/>
      <c r="E2037" s="1"/>
      <c r="F2037" s="1"/>
    </row>
    <row r="2038" spans="1:6" ht="34.5" thickBot="1" x14ac:dyDescent="0.3">
      <c r="A2038" s="4" t="s">
        <v>19</v>
      </c>
      <c r="B2038" s="4" t="s">
        <v>20</v>
      </c>
      <c r="C2038" s="4" t="s">
        <v>21</v>
      </c>
      <c r="D2038" s="4" t="s">
        <v>22</v>
      </c>
      <c r="E2038" s="4" t="s">
        <v>23</v>
      </c>
      <c r="F2038" s="4" t="s">
        <v>24</v>
      </c>
    </row>
    <row r="2039" spans="1:6" ht="15.75" thickBot="1" x14ac:dyDescent="0.3">
      <c r="A2039" s="32" t="s">
        <v>501</v>
      </c>
      <c r="B2039" s="32" t="s">
        <v>490</v>
      </c>
      <c r="C2039" s="32" t="s">
        <v>27</v>
      </c>
      <c r="D2039" s="6" t="s">
        <v>28</v>
      </c>
      <c r="E2039" s="6" t="s">
        <v>262</v>
      </c>
      <c r="F2039" s="6"/>
    </row>
    <row r="2040" spans="1:6" ht="15.75" thickBot="1" x14ac:dyDescent="0.3">
      <c r="A2040" s="35" t="s">
        <v>31</v>
      </c>
      <c r="B2040" s="7" t="s">
        <v>32</v>
      </c>
      <c r="C2040" s="15">
        <v>45323</v>
      </c>
      <c r="D2040" s="35" t="s">
        <v>33</v>
      </c>
      <c r="E2040" s="7" t="s">
        <v>34</v>
      </c>
      <c r="F2040" s="6"/>
    </row>
    <row r="2041" spans="1:6" ht="15.75" thickBot="1" x14ac:dyDescent="0.3">
      <c r="A2041" s="36"/>
      <c r="B2041" s="7" t="s">
        <v>36</v>
      </c>
      <c r="C2041" s="5">
        <v>1</v>
      </c>
      <c r="D2041" s="36"/>
      <c r="E2041" s="7" t="s">
        <v>37</v>
      </c>
      <c r="F2041" s="6"/>
    </row>
    <row r="2042" spans="1:6" ht="15.75" thickBot="1" x14ac:dyDescent="0.3">
      <c r="A2042" s="36"/>
      <c r="B2042" s="7" t="s">
        <v>39</v>
      </c>
      <c r="C2042" s="15">
        <v>45381</v>
      </c>
      <c r="D2042" s="36"/>
      <c r="E2042" s="7" t="s">
        <v>40</v>
      </c>
      <c r="F2042" s="6"/>
    </row>
    <row r="2043" spans="1:6" ht="15.75" thickBot="1" x14ac:dyDescent="0.3">
      <c r="A2043" s="36"/>
      <c r="B2043" s="7" t="s">
        <v>36</v>
      </c>
      <c r="C2043" s="5">
        <v>1</v>
      </c>
      <c r="D2043" s="36"/>
      <c r="E2043" s="7" t="s">
        <v>41</v>
      </c>
      <c r="F2043" s="6"/>
    </row>
    <row r="2044" spans="1:6" ht="15.75" thickBot="1" x14ac:dyDescent="0.3">
      <c r="A2044" s="2"/>
      <c r="B2044" s="2"/>
      <c r="C2044" s="2"/>
      <c r="D2044" s="2"/>
      <c r="E2044" s="2"/>
      <c r="F2044" s="2"/>
    </row>
    <row r="2045" spans="1:6" ht="15.75" thickBot="1" x14ac:dyDescent="0.3">
      <c r="A2045" s="12" t="s">
        <v>42</v>
      </c>
      <c r="B2045" s="12" t="s">
        <v>43</v>
      </c>
      <c r="C2045" s="12" t="s">
        <v>44</v>
      </c>
      <c r="D2045" s="12" t="s">
        <v>45</v>
      </c>
      <c r="E2045" s="12" t="s">
        <v>46</v>
      </c>
      <c r="F2045" s="12" t="s">
        <v>47</v>
      </c>
    </row>
    <row r="2046" spans="1:6" ht="33.75" x14ac:dyDescent="0.25">
      <c r="A2046" s="8">
        <v>14111514</v>
      </c>
      <c r="B2046" s="9" t="s">
        <v>432</v>
      </c>
      <c r="C2046" s="33" t="s">
        <v>55</v>
      </c>
      <c r="D2046" s="8">
        <v>2400</v>
      </c>
      <c r="E2046" s="11">
        <v>92.04</v>
      </c>
      <c r="F2046" s="10">
        <v>220896.00000000003</v>
      </c>
    </row>
    <row r="2047" spans="1:6" ht="22.5" x14ac:dyDescent="0.25">
      <c r="A2047" s="8">
        <v>44121706</v>
      </c>
      <c r="B2047" s="9" t="s">
        <v>57</v>
      </c>
      <c r="C2047" s="33" t="s">
        <v>49</v>
      </c>
      <c r="D2047" s="8">
        <v>100</v>
      </c>
      <c r="E2047" s="11">
        <v>88.6</v>
      </c>
      <c r="F2047" s="10">
        <v>8860</v>
      </c>
    </row>
    <row r="2048" spans="1:6" x14ac:dyDescent="0.25">
      <c r="A2048" s="8">
        <v>44121701</v>
      </c>
      <c r="B2048" s="9" t="s">
        <v>53</v>
      </c>
      <c r="C2048" s="33" t="s">
        <v>49</v>
      </c>
      <c r="D2048" s="8">
        <v>100</v>
      </c>
      <c r="E2048" s="11">
        <v>109.84</v>
      </c>
      <c r="F2048" s="10">
        <v>10984</v>
      </c>
    </row>
    <row r="2049" spans="1:6" x14ac:dyDescent="0.25">
      <c r="A2049" s="8">
        <v>53121603</v>
      </c>
      <c r="B2049" s="9" t="s">
        <v>491</v>
      </c>
      <c r="C2049" s="33" t="s">
        <v>55</v>
      </c>
      <c r="D2049" s="8">
        <v>600</v>
      </c>
      <c r="E2049" s="11">
        <v>973.5</v>
      </c>
      <c r="F2049" s="10">
        <v>584100</v>
      </c>
    </row>
    <row r="2050" spans="1:6" x14ac:dyDescent="0.25">
      <c r="A2050" s="8">
        <v>44121804</v>
      </c>
      <c r="B2050" s="9" t="s">
        <v>228</v>
      </c>
      <c r="C2050" s="33" t="s">
        <v>55</v>
      </c>
      <c r="D2050" s="8">
        <v>600</v>
      </c>
      <c r="E2050" s="11">
        <v>51.92</v>
      </c>
      <c r="F2050" s="10">
        <v>31152</v>
      </c>
    </row>
    <row r="2051" spans="1:6" ht="22.5" x14ac:dyDescent="0.25">
      <c r="A2051" s="8">
        <v>44121619</v>
      </c>
      <c r="B2051" s="9" t="s">
        <v>237</v>
      </c>
      <c r="C2051" s="33" t="s">
        <v>55</v>
      </c>
      <c r="D2051" s="8">
        <v>600</v>
      </c>
      <c r="E2051" s="11">
        <v>23.6</v>
      </c>
      <c r="F2051" s="10">
        <v>14160</v>
      </c>
    </row>
    <row r="2052" spans="1:6" ht="33.75" x14ac:dyDescent="0.25">
      <c r="A2052" s="8">
        <v>44111509</v>
      </c>
      <c r="B2052" s="9" t="s">
        <v>238</v>
      </c>
      <c r="C2052" s="33" t="s">
        <v>55</v>
      </c>
      <c r="D2052" s="8">
        <v>600</v>
      </c>
      <c r="E2052" s="11">
        <v>135.69999999999999</v>
      </c>
      <c r="F2052" s="10">
        <v>81420</v>
      </c>
    </row>
    <row r="2053" spans="1:6" ht="56.25" x14ac:dyDescent="0.25">
      <c r="A2053" s="8">
        <v>52152002</v>
      </c>
      <c r="B2053" s="9" t="s">
        <v>492</v>
      </c>
      <c r="C2053" s="33" t="s">
        <v>55</v>
      </c>
      <c r="D2053" s="8">
        <v>600</v>
      </c>
      <c r="E2053" s="11">
        <v>722.75</v>
      </c>
      <c r="F2053" s="10">
        <v>433650</v>
      </c>
    </row>
    <row r="2054" spans="1:6" x14ac:dyDescent="0.25">
      <c r="A2054" s="8">
        <v>44111803</v>
      </c>
      <c r="B2054" s="9" t="s">
        <v>493</v>
      </c>
      <c r="C2054" s="33" t="s">
        <v>55</v>
      </c>
      <c r="D2054" s="8">
        <v>600</v>
      </c>
      <c r="E2054" s="11">
        <v>45.78</v>
      </c>
      <c r="F2054" s="10">
        <v>27468</v>
      </c>
    </row>
    <row r="2055" spans="1:6" ht="22.5" x14ac:dyDescent="0.25">
      <c r="A2055" s="8">
        <v>44111812</v>
      </c>
      <c r="B2055" s="9" t="s">
        <v>494</v>
      </c>
      <c r="C2055" s="33" t="s">
        <v>55</v>
      </c>
      <c r="D2055" s="8">
        <v>600</v>
      </c>
      <c r="E2055" s="11">
        <v>37.909999999999997</v>
      </c>
      <c r="F2055" s="10">
        <v>22745.999999999996</v>
      </c>
    </row>
    <row r="2056" spans="1:6" ht="22.5" x14ac:dyDescent="0.25">
      <c r="A2056" s="8">
        <v>44121707</v>
      </c>
      <c r="B2056" s="9" t="s">
        <v>495</v>
      </c>
      <c r="C2056" s="33" t="s">
        <v>49</v>
      </c>
      <c r="D2056" s="8">
        <v>600</v>
      </c>
      <c r="E2056" s="11">
        <v>107.43</v>
      </c>
      <c r="F2056" s="10">
        <v>64458.000000000007</v>
      </c>
    </row>
    <row r="2057" spans="1:6" x14ac:dyDescent="0.25">
      <c r="A2057" s="2"/>
      <c r="B2057" s="2"/>
      <c r="C2057" s="2"/>
      <c r="D2057" s="2"/>
      <c r="E2057" s="13" t="s">
        <v>87</v>
      </c>
      <c r="F2057" s="14">
        <v>1499894</v>
      </c>
    </row>
    <row r="2058" spans="1:6" ht="15.75" thickBot="1" x14ac:dyDescent="0.3">
      <c r="A2058" s="1"/>
      <c r="B2058" s="1"/>
      <c r="C2058" s="1"/>
      <c r="D2058" s="1"/>
      <c r="E2058" s="1"/>
      <c r="F2058" s="1"/>
    </row>
    <row r="2059" spans="1:6" ht="34.5" thickBot="1" x14ac:dyDescent="0.3">
      <c r="A2059" s="4" t="s">
        <v>19</v>
      </c>
      <c r="B2059" s="4" t="s">
        <v>20</v>
      </c>
      <c r="C2059" s="4" t="s">
        <v>21</v>
      </c>
      <c r="D2059" s="4" t="s">
        <v>22</v>
      </c>
      <c r="E2059" s="4" t="s">
        <v>23</v>
      </c>
      <c r="F2059" s="4" t="s">
        <v>24</v>
      </c>
    </row>
    <row r="2060" spans="1:6" ht="15.75" thickBot="1" x14ac:dyDescent="0.3">
      <c r="A2060" s="32" t="s">
        <v>510</v>
      </c>
      <c r="B2060" s="32" t="s">
        <v>511</v>
      </c>
      <c r="C2060" s="32" t="s">
        <v>27</v>
      </c>
      <c r="D2060" s="6" t="s">
        <v>28</v>
      </c>
      <c r="E2060" s="6" t="s">
        <v>262</v>
      </c>
      <c r="F2060" s="6"/>
    </row>
    <row r="2061" spans="1:6" ht="15.75" thickBot="1" x14ac:dyDescent="0.3">
      <c r="A2061" s="35" t="s">
        <v>31</v>
      </c>
      <c r="B2061" s="7" t="s">
        <v>32</v>
      </c>
      <c r="C2061" s="15">
        <v>45323</v>
      </c>
      <c r="D2061" s="35" t="s">
        <v>33</v>
      </c>
      <c r="E2061" s="7" t="s">
        <v>34</v>
      </c>
      <c r="F2061" s="6"/>
    </row>
    <row r="2062" spans="1:6" ht="15.75" thickBot="1" x14ac:dyDescent="0.3">
      <c r="A2062" s="36"/>
      <c r="B2062" s="7" t="s">
        <v>36</v>
      </c>
      <c r="C2062" s="5">
        <v>1</v>
      </c>
      <c r="D2062" s="36"/>
      <c r="E2062" s="7" t="s">
        <v>37</v>
      </c>
      <c r="F2062" s="6"/>
    </row>
    <row r="2063" spans="1:6" ht="15.75" thickBot="1" x14ac:dyDescent="0.3">
      <c r="A2063" s="36"/>
      <c r="B2063" s="7" t="s">
        <v>39</v>
      </c>
      <c r="C2063" s="15">
        <v>45381</v>
      </c>
      <c r="D2063" s="36"/>
      <c r="E2063" s="7" t="s">
        <v>40</v>
      </c>
      <c r="F2063" s="6"/>
    </row>
    <row r="2064" spans="1:6" ht="15.75" thickBot="1" x14ac:dyDescent="0.3">
      <c r="A2064" s="36"/>
      <c r="B2064" s="7" t="s">
        <v>36</v>
      </c>
      <c r="C2064" s="5">
        <v>1</v>
      </c>
      <c r="D2064" s="36"/>
      <c r="E2064" s="7" t="s">
        <v>41</v>
      </c>
      <c r="F2064" s="6"/>
    </row>
    <row r="2065" spans="1:6" ht="15.75" thickBot="1" x14ac:dyDescent="0.3">
      <c r="A2065" s="2"/>
      <c r="B2065" s="2"/>
      <c r="C2065" s="2"/>
      <c r="D2065" s="2"/>
      <c r="E2065" s="2"/>
      <c r="F2065" s="2"/>
    </row>
    <row r="2066" spans="1:6" ht="15.75" thickBot="1" x14ac:dyDescent="0.3">
      <c r="A2066" s="12" t="s">
        <v>42</v>
      </c>
      <c r="B2066" s="12" t="s">
        <v>43</v>
      </c>
      <c r="C2066" s="12" t="s">
        <v>44</v>
      </c>
      <c r="D2066" s="12" t="s">
        <v>45</v>
      </c>
      <c r="E2066" s="12" t="s">
        <v>46</v>
      </c>
      <c r="F2066" s="12" t="s">
        <v>47</v>
      </c>
    </row>
    <row r="2067" spans="1:6" ht="22.5" x14ac:dyDescent="0.25">
      <c r="A2067" s="8">
        <v>49161608</v>
      </c>
      <c r="B2067" s="9" t="s">
        <v>512</v>
      </c>
      <c r="C2067" s="33" t="s">
        <v>55</v>
      </c>
      <c r="D2067" s="8">
        <v>100</v>
      </c>
      <c r="E2067" s="11">
        <v>1593</v>
      </c>
      <c r="F2067" s="10">
        <v>159300</v>
      </c>
    </row>
    <row r="2068" spans="1:6" ht="22.5" x14ac:dyDescent="0.25">
      <c r="A2068" s="8">
        <v>49161603</v>
      </c>
      <c r="B2068" s="9" t="s">
        <v>513</v>
      </c>
      <c r="C2068" s="33" t="s">
        <v>55</v>
      </c>
      <c r="D2068" s="8">
        <v>30</v>
      </c>
      <c r="E2068" s="11">
        <v>1640</v>
      </c>
      <c r="F2068" s="10">
        <v>49200</v>
      </c>
    </row>
    <row r="2069" spans="1:6" ht="22.5" x14ac:dyDescent="0.25">
      <c r="A2069" s="8">
        <v>49161603</v>
      </c>
      <c r="B2069" s="9" t="s">
        <v>513</v>
      </c>
      <c r="C2069" s="33" t="s">
        <v>55</v>
      </c>
      <c r="D2069" s="8">
        <v>100</v>
      </c>
      <c r="E2069" s="11">
        <v>1593</v>
      </c>
      <c r="F2069" s="10">
        <v>159300</v>
      </c>
    </row>
    <row r="2070" spans="1:6" ht="22.5" x14ac:dyDescent="0.25">
      <c r="A2070" s="8">
        <v>49161503</v>
      </c>
      <c r="B2070" s="9" t="s">
        <v>514</v>
      </c>
      <c r="C2070" s="33" t="s">
        <v>55</v>
      </c>
      <c r="D2070" s="8">
        <v>100</v>
      </c>
      <c r="E2070" s="11">
        <v>425</v>
      </c>
      <c r="F2070" s="10">
        <v>42500</v>
      </c>
    </row>
    <row r="2071" spans="1:6" ht="22.5" x14ac:dyDescent="0.25">
      <c r="A2071" s="8">
        <v>49161509</v>
      </c>
      <c r="B2071" s="9" t="s">
        <v>515</v>
      </c>
      <c r="C2071" s="33" t="s">
        <v>55</v>
      </c>
      <c r="D2071" s="8">
        <v>100</v>
      </c>
      <c r="E2071" s="11">
        <v>477.9</v>
      </c>
      <c r="F2071" s="10">
        <v>47790</v>
      </c>
    </row>
    <row r="2072" spans="1:6" ht="22.5" x14ac:dyDescent="0.25">
      <c r="A2072" s="8">
        <v>49161504</v>
      </c>
      <c r="B2072" s="9" t="s">
        <v>516</v>
      </c>
      <c r="C2072" s="33" t="s">
        <v>55</v>
      </c>
      <c r="D2072" s="8">
        <v>50</v>
      </c>
      <c r="E2072" s="11">
        <v>1593</v>
      </c>
      <c r="F2072" s="10">
        <v>79650</v>
      </c>
    </row>
    <row r="2073" spans="1:6" ht="22.5" x14ac:dyDescent="0.25">
      <c r="A2073" s="8">
        <v>49161504</v>
      </c>
      <c r="B2073" s="9" t="s">
        <v>516</v>
      </c>
      <c r="C2073" s="33" t="s">
        <v>55</v>
      </c>
      <c r="D2073" s="8">
        <v>60</v>
      </c>
      <c r="E2073" s="11">
        <v>1593</v>
      </c>
      <c r="F2073" s="10">
        <v>95580</v>
      </c>
    </row>
    <row r="2074" spans="1:6" x14ac:dyDescent="0.25">
      <c r="A2074" s="8">
        <v>49221502</v>
      </c>
      <c r="B2074" s="9" t="s">
        <v>517</v>
      </c>
      <c r="C2074" s="33" t="s">
        <v>55</v>
      </c>
      <c r="D2074" s="8">
        <v>30</v>
      </c>
      <c r="E2074" s="11">
        <v>1416</v>
      </c>
      <c r="F2074" s="10">
        <v>42480</v>
      </c>
    </row>
    <row r="2075" spans="1:6" ht="22.5" x14ac:dyDescent="0.25">
      <c r="A2075" s="8">
        <v>49181509</v>
      </c>
      <c r="B2075" s="9" t="s">
        <v>518</v>
      </c>
      <c r="C2075" s="33" t="s">
        <v>55</v>
      </c>
      <c r="D2075" s="8">
        <v>100</v>
      </c>
      <c r="E2075" s="11">
        <v>94.4</v>
      </c>
      <c r="F2075" s="10">
        <v>9440</v>
      </c>
    </row>
    <row r="2076" spans="1:6" ht="22.5" x14ac:dyDescent="0.25">
      <c r="A2076" s="8">
        <v>49161603</v>
      </c>
      <c r="B2076" s="9" t="s">
        <v>513</v>
      </c>
      <c r="C2076" s="33" t="s">
        <v>55</v>
      </c>
      <c r="D2076" s="8">
        <v>50</v>
      </c>
      <c r="E2076" s="11">
        <v>2950</v>
      </c>
      <c r="F2076" s="10">
        <v>147500</v>
      </c>
    </row>
    <row r="2077" spans="1:6" ht="22.5" x14ac:dyDescent="0.25">
      <c r="A2077" s="8">
        <v>49161603</v>
      </c>
      <c r="B2077" s="9" t="s">
        <v>513</v>
      </c>
      <c r="C2077" s="33" t="s">
        <v>55</v>
      </c>
      <c r="D2077" s="8">
        <v>25</v>
      </c>
      <c r="E2077" s="11">
        <v>3304</v>
      </c>
      <c r="F2077" s="10">
        <v>82600</v>
      </c>
    </row>
    <row r="2078" spans="1:6" ht="22.5" x14ac:dyDescent="0.25">
      <c r="A2078" s="8">
        <v>49161503</v>
      </c>
      <c r="B2078" s="9" t="s">
        <v>514</v>
      </c>
      <c r="C2078" s="33" t="s">
        <v>55</v>
      </c>
      <c r="D2078" s="8">
        <v>25</v>
      </c>
      <c r="E2078" s="11">
        <v>295</v>
      </c>
      <c r="F2078" s="10">
        <v>7375</v>
      </c>
    </row>
    <row r="2079" spans="1:6" ht="22.5" x14ac:dyDescent="0.25">
      <c r="A2079" s="8">
        <v>49221507</v>
      </c>
      <c r="B2079" s="9" t="s">
        <v>519</v>
      </c>
      <c r="C2079" s="33" t="s">
        <v>55</v>
      </c>
      <c r="D2079" s="8">
        <v>10</v>
      </c>
      <c r="E2079" s="11">
        <v>41300</v>
      </c>
      <c r="F2079" s="10">
        <v>413000</v>
      </c>
    </row>
    <row r="2080" spans="1:6" ht="22.5" x14ac:dyDescent="0.25">
      <c r="A2080" s="8">
        <v>49221505</v>
      </c>
      <c r="B2080" s="9" t="s">
        <v>520</v>
      </c>
      <c r="C2080" s="33" t="s">
        <v>55</v>
      </c>
      <c r="D2080" s="8">
        <v>25</v>
      </c>
      <c r="E2080" s="11">
        <v>241.9</v>
      </c>
      <c r="F2080" s="10">
        <v>6047.5</v>
      </c>
    </row>
    <row r="2081" spans="1:6" ht="22.5" x14ac:dyDescent="0.25">
      <c r="A2081" s="8">
        <v>49161506</v>
      </c>
      <c r="B2081" s="9" t="s">
        <v>521</v>
      </c>
      <c r="C2081" s="33" t="s">
        <v>55</v>
      </c>
      <c r="D2081" s="8">
        <v>25</v>
      </c>
      <c r="E2081" s="11">
        <v>5074</v>
      </c>
      <c r="F2081" s="10">
        <v>126850</v>
      </c>
    </row>
    <row r="2082" spans="1:6" ht="22.5" x14ac:dyDescent="0.25">
      <c r="A2082" s="8">
        <v>49161520</v>
      </c>
      <c r="B2082" s="9" t="s">
        <v>522</v>
      </c>
      <c r="C2082" s="33" t="s">
        <v>55</v>
      </c>
      <c r="D2082" s="8">
        <v>10</v>
      </c>
      <c r="E2082" s="11">
        <v>4277.5</v>
      </c>
      <c r="F2082" s="10">
        <v>42775</v>
      </c>
    </row>
    <row r="2083" spans="1:6" ht="22.5" x14ac:dyDescent="0.25">
      <c r="A2083" s="8">
        <v>49161608</v>
      </c>
      <c r="B2083" s="9" t="s">
        <v>512</v>
      </c>
      <c r="C2083" s="33" t="s">
        <v>55</v>
      </c>
      <c r="D2083" s="8">
        <v>50</v>
      </c>
      <c r="E2083" s="11">
        <v>1800</v>
      </c>
      <c r="F2083" s="10">
        <v>90000</v>
      </c>
    </row>
    <row r="2084" spans="1:6" ht="22.5" x14ac:dyDescent="0.25">
      <c r="A2084" s="8">
        <v>49161506</v>
      </c>
      <c r="B2084" s="9" t="s">
        <v>521</v>
      </c>
      <c r="C2084" s="33" t="s">
        <v>55</v>
      </c>
      <c r="D2084" s="8">
        <v>15</v>
      </c>
      <c r="E2084" s="11">
        <v>4074</v>
      </c>
      <c r="F2084" s="10">
        <v>61110</v>
      </c>
    </row>
    <row r="2085" spans="1:6" x14ac:dyDescent="0.25">
      <c r="A2085" s="2"/>
      <c r="B2085" s="2"/>
      <c r="C2085" s="2"/>
      <c r="D2085" s="2"/>
      <c r="E2085" s="13" t="s">
        <v>87</v>
      </c>
      <c r="F2085" s="14">
        <v>1662497.5</v>
      </c>
    </row>
    <row r="2086" spans="1:6" ht="15.75" thickBot="1" x14ac:dyDescent="0.3">
      <c r="A2086" s="1"/>
      <c r="B2086" s="1"/>
      <c r="C2086" s="1"/>
      <c r="D2086" s="1"/>
      <c r="E2086" s="1"/>
      <c r="F2086" s="1"/>
    </row>
    <row r="2087" spans="1:6" ht="34.5" thickBot="1" x14ac:dyDescent="0.3">
      <c r="A2087" s="4" t="s">
        <v>19</v>
      </c>
      <c r="B2087" s="4" t="s">
        <v>20</v>
      </c>
      <c r="C2087" s="4" t="s">
        <v>21</v>
      </c>
      <c r="D2087" s="4" t="s">
        <v>22</v>
      </c>
      <c r="E2087" s="4" t="s">
        <v>23</v>
      </c>
      <c r="F2087" s="4" t="s">
        <v>24</v>
      </c>
    </row>
    <row r="2088" spans="1:6" ht="15.75" thickBot="1" x14ac:dyDescent="0.3">
      <c r="A2088" s="32" t="s">
        <v>523</v>
      </c>
      <c r="B2088" s="32" t="s">
        <v>524</v>
      </c>
      <c r="C2088" s="32" t="s">
        <v>27</v>
      </c>
      <c r="D2088" s="6" t="s">
        <v>28</v>
      </c>
      <c r="E2088" s="6" t="s">
        <v>262</v>
      </c>
      <c r="F2088" s="6"/>
    </row>
    <row r="2089" spans="1:6" ht="15.75" thickBot="1" x14ac:dyDescent="0.3">
      <c r="A2089" s="35" t="s">
        <v>31</v>
      </c>
      <c r="B2089" s="7" t="s">
        <v>32</v>
      </c>
      <c r="C2089" s="15">
        <v>45323</v>
      </c>
      <c r="D2089" s="35" t="s">
        <v>33</v>
      </c>
      <c r="E2089" s="7" t="s">
        <v>34</v>
      </c>
      <c r="F2089" s="6"/>
    </row>
    <row r="2090" spans="1:6" ht="15.75" thickBot="1" x14ac:dyDescent="0.3">
      <c r="A2090" s="36"/>
      <c r="B2090" s="7" t="s">
        <v>36</v>
      </c>
      <c r="C2090" s="5">
        <v>1</v>
      </c>
      <c r="D2090" s="36"/>
      <c r="E2090" s="7" t="s">
        <v>37</v>
      </c>
      <c r="F2090" s="6"/>
    </row>
    <row r="2091" spans="1:6" ht="15.75" thickBot="1" x14ac:dyDescent="0.3">
      <c r="A2091" s="36"/>
      <c r="B2091" s="7" t="s">
        <v>39</v>
      </c>
      <c r="C2091" s="15">
        <v>45381</v>
      </c>
      <c r="D2091" s="36"/>
      <c r="E2091" s="7" t="s">
        <v>40</v>
      </c>
      <c r="F2091" s="6"/>
    </row>
    <row r="2092" spans="1:6" ht="15.75" thickBot="1" x14ac:dyDescent="0.3">
      <c r="A2092" s="36"/>
      <c r="B2092" s="7" t="s">
        <v>36</v>
      </c>
      <c r="C2092" s="5">
        <v>1</v>
      </c>
      <c r="D2092" s="36"/>
      <c r="E2092" s="7" t="s">
        <v>41</v>
      </c>
      <c r="F2092" s="6"/>
    </row>
    <row r="2093" spans="1:6" ht="15.75" thickBot="1" x14ac:dyDescent="0.3">
      <c r="A2093" s="2"/>
      <c r="B2093" s="2"/>
      <c r="C2093" s="2"/>
      <c r="D2093" s="2"/>
      <c r="E2093" s="2"/>
      <c r="F2093" s="2"/>
    </row>
    <row r="2094" spans="1:6" ht="15.75" thickBot="1" x14ac:dyDescent="0.3">
      <c r="A2094" s="12" t="s">
        <v>42</v>
      </c>
      <c r="B2094" s="12" t="s">
        <v>43</v>
      </c>
      <c r="C2094" s="12" t="s">
        <v>44</v>
      </c>
      <c r="D2094" s="12" t="s">
        <v>45</v>
      </c>
      <c r="E2094" s="12" t="s">
        <v>46</v>
      </c>
      <c r="F2094" s="12" t="s">
        <v>47</v>
      </c>
    </row>
    <row r="2095" spans="1:6" ht="22.5" x14ac:dyDescent="0.25">
      <c r="A2095" s="8">
        <v>43211507</v>
      </c>
      <c r="B2095" s="9" t="s">
        <v>525</v>
      </c>
      <c r="C2095" s="33" t="s">
        <v>55</v>
      </c>
      <c r="D2095" s="8">
        <v>10</v>
      </c>
      <c r="E2095" s="11">
        <v>80000</v>
      </c>
      <c r="F2095" s="10">
        <v>800000</v>
      </c>
    </row>
    <row r="2096" spans="1:6" ht="33.75" x14ac:dyDescent="0.25">
      <c r="A2096" s="8">
        <v>43212110</v>
      </c>
      <c r="B2096" s="9" t="s">
        <v>526</v>
      </c>
      <c r="C2096" s="33" t="s">
        <v>55</v>
      </c>
      <c r="D2096" s="8">
        <v>10</v>
      </c>
      <c r="E2096" s="11">
        <v>45000</v>
      </c>
      <c r="F2096" s="10">
        <v>450000</v>
      </c>
    </row>
    <row r="2097" spans="1:6" x14ac:dyDescent="0.25">
      <c r="A2097" s="2"/>
      <c r="B2097" s="2"/>
      <c r="C2097" s="2"/>
      <c r="D2097" s="2"/>
      <c r="E2097" s="13" t="s">
        <v>87</v>
      </c>
      <c r="F2097" s="14">
        <v>1250000</v>
      </c>
    </row>
    <row r="2098" spans="1:6" ht="15.75" thickBot="1" x14ac:dyDescent="0.3">
      <c r="A2098" s="1"/>
      <c r="B2098" s="1"/>
      <c r="C2098" s="1"/>
      <c r="D2098" s="1"/>
      <c r="E2098" s="1"/>
      <c r="F2098" s="1"/>
    </row>
    <row r="2099" spans="1:6" ht="34.5" thickBot="1" x14ac:dyDescent="0.3">
      <c r="A2099" s="4" t="s">
        <v>19</v>
      </c>
      <c r="B2099" s="4" t="s">
        <v>20</v>
      </c>
      <c r="C2099" s="4" t="s">
        <v>21</v>
      </c>
      <c r="D2099" s="4" t="s">
        <v>22</v>
      </c>
      <c r="E2099" s="4" t="s">
        <v>23</v>
      </c>
      <c r="F2099" s="4" t="s">
        <v>24</v>
      </c>
    </row>
    <row r="2100" spans="1:6" ht="15.75" thickBot="1" x14ac:dyDescent="0.3">
      <c r="A2100" s="32" t="s">
        <v>510</v>
      </c>
      <c r="B2100" s="32" t="s">
        <v>511</v>
      </c>
      <c r="C2100" s="32" t="s">
        <v>27</v>
      </c>
      <c r="D2100" s="6" t="s">
        <v>28</v>
      </c>
      <c r="E2100" s="6" t="s">
        <v>262</v>
      </c>
      <c r="F2100" s="6"/>
    </row>
    <row r="2101" spans="1:6" ht="15.75" thickBot="1" x14ac:dyDescent="0.3">
      <c r="A2101" s="35" t="s">
        <v>31</v>
      </c>
      <c r="B2101" s="7" t="s">
        <v>32</v>
      </c>
      <c r="C2101" s="15">
        <v>45323</v>
      </c>
      <c r="D2101" s="35" t="s">
        <v>33</v>
      </c>
      <c r="E2101" s="7" t="s">
        <v>34</v>
      </c>
      <c r="F2101" s="6"/>
    </row>
    <row r="2102" spans="1:6" ht="15.75" thickBot="1" x14ac:dyDescent="0.3">
      <c r="A2102" s="36"/>
      <c r="B2102" s="7" t="s">
        <v>36</v>
      </c>
      <c r="C2102" s="5">
        <v>1</v>
      </c>
      <c r="D2102" s="36"/>
      <c r="E2102" s="7" t="s">
        <v>37</v>
      </c>
      <c r="F2102" s="6"/>
    </row>
    <row r="2103" spans="1:6" ht="15.75" thickBot="1" x14ac:dyDescent="0.3">
      <c r="A2103" s="36"/>
      <c r="B2103" s="7" t="s">
        <v>39</v>
      </c>
      <c r="C2103" s="15">
        <v>45381</v>
      </c>
      <c r="D2103" s="36"/>
      <c r="E2103" s="7" t="s">
        <v>40</v>
      </c>
      <c r="F2103" s="6"/>
    </row>
    <row r="2104" spans="1:6" ht="15.75" thickBot="1" x14ac:dyDescent="0.3">
      <c r="A2104" s="36"/>
      <c r="B2104" s="7" t="s">
        <v>36</v>
      </c>
      <c r="C2104" s="5">
        <v>1</v>
      </c>
      <c r="D2104" s="36"/>
      <c r="E2104" s="7" t="s">
        <v>41</v>
      </c>
      <c r="F2104" s="6"/>
    </row>
    <row r="2105" spans="1:6" ht="15.75" thickBot="1" x14ac:dyDescent="0.3">
      <c r="A2105" s="2"/>
      <c r="B2105" s="2"/>
      <c r="C2105" s="2"/>
      <c r="D2105" s="2"/>
      <c r="E2105" s="2"/>
      <c r="F2105" s="2"/>
    </row>
    <row r="2106" spans="1:6" ht="15.75" thickBot="1" x14ac:dyDescent="0.3">
      <c r="A2106" s="12" t="s">
        <v>42</v>
      </c>
      <c r="B2106" s="12" t="s">
        <v>43</v>
      </c>
      <c r="C2106" s="12" t="s">
        <v>44</v>
      </c>
      <c r="D2106" s="12" t="s">
        <v>45</v>
      </c>
      <c r="E2106" s="12" t="s">
        <v>46</v>
      </c>
      <c r="F2106" s="12" t="s">
        <v>47</v>
      </c>
    </row>
    <row r="2107" spans="1:6" ht="22.5" x14ac:dyDescent="0.25">
      <c r="A2107" s="8">
        <v>49161608</v>
      </c>
      <c r="B2107" s="9" t="s">
        <v>512</v>
      </c>
      <c r="C2107" s="33" t="s">
        <v>55</v>
      </c>
      <c r="D2107" s="8">
        <v>100</v>
      </c>
      <c r="E2107" s="11">
        <v>1593</v>
      </c>
      <c r="F2107" s="10">
        <v>159300</v>
      </c>
    </row>
    <row r="2108" spans="1:6" ht="22.5" x14ac:dyDescent="0.25">
      <c r="A2108" s="8">
        <v>49161603</v>
      </c>
      <c r="B2108" s="9" t="s">
        <v>513</v>
      </c>
      <c r="C2108" s="33" t="s">
        <v>55</v>
      </c>
      <c r="D2108" s="8">
        <v>30</v>
      </c>
      <c r="E2108" s="11">
        <v>1640</v>
      </c>
      <c r="F2108" s="10">
        <v>49200</v>
      </c>
    </row>
    <row r="2109" spans="1:6" ht="22.5" x14ac:dyDescent="0.25">
      <c r="A2109" s="8">
        <v>49161603</v>
      </c>
      <c r="B2109" s="9" t="s">
        <v>513</v>
      </c>
      <c r="C2109" s="33" t="s">
        <v>55</v>
      </c>
      <c r="D2109" s="8">
        <v>100</v>
      </c>
      <c r="E2109" s="11">
        <v>1593</v>
      </c>
      <c r="F2109" s="10">
        <v>159300</v>
      </c>
    </row>
    <row r="2110" spans="1:6" ht="22.5" x14ac:dyDescent="0.25">
      <c r="A2110" s="8">
        <v>49161503</v>
      </c>
      <c r="B2110" s="9" t="s">
        <v>514</v>
      </c>
      <c r="C2110" s="33" t="s">
        <v>55</v>
      </c>
      <c r="D2110" s="8">
        <v>100</v>
      </c>
      <c r="E2110" s="11">
        <v>425</v>
      </c>
      <c r="F2110" s="10">
        <v>42500</v>
      </c>
    </row>
    <row r="2111" spans="1:6" ht="22.5" x14ac:dyDescent="0.25">
      <c r="A2111" s="8">
        <v>49161509</v>
      </c>
      <c r="B2111" s="9" t="s">
        <v>515</v>
      </c>
      <c r="C2111" s="33" t="s">
        <v>55</v>
      </c>
      <c r="D2111" s="8">
        <v>100</v>
      </c>
      <c r="E2111" s="11">
        <v>477.9</v>
      </c>
      <c r="F2111" s="10">
        <v>47790</v>
      </c>
    </row>
    <row r="2112" spans="1:6" ht="22.5" x14ac:dyDescent="0.25">
      <c r="A2112" s="8">
        <v>49161504</v>
      </c>
      <c r="B2112" s="9" t="s">
        <v>516</v>
      </c>
      <c r="C2112" s="33" t="s">
        <v>55</v>
      </c>
      <c r="D2112" s="8">
        <v>50</v>
      </c>
      <c r="E2112" s="11">
        <v>1593</v>
      </c>
      <c r="F2112" s="10">
        <v>79650</v>
      </c>
    </row>
    <row r="2113" spans="1:6" ht="22.5" x14ac:dyDescent="0.25">
      <c r="A2113" s="8">
        <v>49161504</v>
      </c>
      <c r="B2113" s="9" t="s">
        <v>516</v>
      </c>
      <c r="C2113" s="33" t="s">
        <v>55</v>
      </c>
      <c r="D2113" s="8">
        <v>60</v>
      </c>
      <c r="E2113" s="11">
        <v>1593</v>
      </c>
      <c r="F2113" s="10">
        <v>95580</v>
      </c>
    </row>
    <row r="2114" spans="1:6" x14ac:dyDescent="0.25">
      <c r="A2114" s="8">
        <v>49221502</v>
      </c>
      <c r="B2114" s="9" t="s">
        <v>517</v>
      </c>
      <c r="C2114" s="33" t="s">
        <v>55</v>
      </c>
      <c r="D2114" s="8">
        <v>30</v>
      </c>
      <c r="E2114" s="11">
        <v>1416</v>
      </c>
      <c r="F2114" s="10">
        <v>42480</v>
      </c>
    </row>
    <row r="2115" spans="1:6" ht="22.5" x14ac:dyDescent="0.25">
      <c r="A2115" s="8">
        <v>49181509</v>
      </c>
      <c r="B2115" s="9" t="s">
        <v>518</v>
      </c>
      <c r="C2115" s="33" t="s">
        <v>55</v>
      </c>
      <c r="D2115" s="8">
        <v>100</v>
      </c>
      <c r="E2115" s="11">
        <v>94.4</v>
      </c>
      <c r="F2115" s="10">
        <v>9440</v>
      </c>
    </row>
    <row r="2116" spans="1:6" ht="22.5" x14ac:dyDescent="0.25">
      <c r="A2116" s="8">
        <v>49161603</v>
      </c>
      <c r="B2116" s="9" t="s">
        <v>513</v>
      </c>
      <c r="C2116" s="33" t="s">
        <v>55</v>
      </c>
      <c r="D2116" s="8">
        <v>50</v>
      </c>
      <c r="E2116" s="11">
        <v>2950</v>
      </c>
      <c r="F2116" s="10">
        <v>147500</v>
      </c>
    </row>
    <row r="2117" spans="1:6" ht="22.5" x14ac:dyDescent="0.25">
      <c r="A2117" s="8">
        <v>49161603</v>
      </c>
      <c r="B2117" s="9" t="s">
        <v>513</v>
      </c>
      <c r="C2117" s="33" t="s">
        <v>55</v>
      </c>
      <c r="D2117" s="8">
        <v>25</v>
      </c>
      <c r="E2117" s="11">
        <v>3304</v>
      </c>
      <c r="F2117" s="10">
        <v>82600</v>
      </c>
    </row>
    <row r="2118" spans="1:6" ht="22.5" x14ac:dyDescent="0.25">
      <c r="A2118" s="8">
        <v>49161503</v>
      </c>
      <c r="B2118" s="9" t="s">
        <v>514</v>
      </c>
      <c r="C2118" s="33" t="s">
        <v>55</v>
      </c>
      <c r="D2118" s="8">
        <v>25</v>
      </c>
      <c r="E2118" s="11">
        <v>295</v>
      </c>
      <c r="F2118" s="10">
        <v>7375</v>
      </c>
    </row>
    <row r="2119" spans="1:6" ht="22.5" x14ac:dyDescent="0.25">
      <c r="A2119" s="8">
        <v>49221507</v>
      </c>
      <c r="B2119" s="9" t="s">
        <v>519</v>
      </c>
      <c r="C2119" s="33" t="s">
        <v>55</v>
      </c>
      <c r="D2119" s="8">
        <v>10</v>
      </c>
      <c r="E2119" s="11">
        <v>41300</v>
      </c>
      <c r="F2119" s="10">
        <v>413000</v>
      </c>
    </row>
    <row r="2120" spans="1:6" ht="22.5" x14ac:dyDescent="0.25">
      <c r="A2120" s="8">
        <v>49221505</v>
      </c>
      <c r="B2120" s="9" t="s">
        <v>520</v>
      </c>
      <c r="C2120" s="33" t="s">
        <v>55</v>
      </c>
      <c r="D2120" s="8">
        <v>25</v>
      </c>
      <c r="E2120" s="11">
        <v>241.9</v>
      </c>
      <c r="F2120" s="10">
        <v>6047.5</v>
      </c>
    </row>
    <row r="2121" spans="1:6" ht="22.5" x14ac:dyDescent="0.25">
      <c r="A2121" s="8">
        <v>49161506</v>
      </c>
      <c r="B2121" s="9" t="s">
        <v>521</v>
      </c>
      <c r="C2121" s="33" t="s">
        <v>55</v>
      </c>
      <c r="D2121" s="8">
        <v>25</v>
      </c>
      <c r="E2121" s="11">
        <v>5074</v>
      </c>
      <c r="F2121" s="10">
        <v>126850</v>
      </c>
    </row>
    <row r="2122" spans="1:6" ht="22.5" x14ac:dyDescent="0.25">
      <c r="A2122" s="8">
        <v>49161520</v>
      </c>
      <c r="B2122" s="9" t="s">
        <v>522</v>
      </c>
      <c r="C2122" s="33" t="s">
        <v>55</v>
      </c>
      <c r="D2122" s="8">
        <v>10</v>
      </c>
      <c r="E2122" s="11">
        <v>4277.5</v>
      </c>
      <c r="F2122" s="10">
        <v>42775</v>
      </c>
    </row>
    <row r="2123" spans="1:6" ht="22.5" x14ac:dyDescent="0.25">
      <c r="A2123" s="8">
        <v>49161608</v>
      </c>
      <c r="B2123" s="9" t="s">
        <v>512</v>
      </c>
      <c r="C2123" s="33" t="s">
        <v>55</v>
      </c>
      <c r="D2123" s="8">
        <v>50</v>
      </c>
      <c r="E2123" s="11">
        <v>1800</v>
      </c>
      <c r="F2123" s="10">
        <v>90000</v>
      </c>
    </row>
    <row r="2124" spans="1:6" ht="22.5" x14ac:dyDescent="0.25">
      <c r="A2124" s="8">
        <v>49161506</v>
      </c>
      <c r="B2124" s="9" t="s">
        <v>521</v>
      </c>
      <c r="C2124" s="33" t="s">
        <v>55</v>
      </c>
      <c r="D2124" s="8">
        <v>15</v>
      </c>
      <c r="E2124" s="11">
        <v>4074</v>
      </c>
      <c r="F2124" s="10">
        <v>61110</v>
      </c>
    </row>
    <row r="2125" spans="1:6" x14ac:dyDescent="0.25">
      <c r="A2125" s="2"/>
      <c r="B2125" s="2"/>
      <c r="C2125" s="2"/>
      <c r="D2125" s="2"/>
      <c r="E2125" s="13" t="s">
        <v>87</v>
      </c>
      <c r="F2125" s="14">
        <v>1662497.5</v>
      </c>
    </row>
    <row r="2126" spans="1:6" ht="15.75" thickBot="1" x14ac:dyDescent="0.3">
      <c r="A2126" s="1"/>
      <c r="B2126" s="1"/>
      <c r="C2126" s="1"/>
      <c r="D2126" s="1"/>
      <c r="E2126" s="1"/>
      <c r="F2126" s="1"/>
    </row>
    <row r="2127" spans="1:6" ht="34.5" thickBot="1" x14ac:dyDescent="0.3">
      <c r="A2127" s="4" t="s">
        <v>19</v>
      </c>
      <c r="B2127" s="4" t="s">
        <v>20</v>
      </c>
      <c r="C2127" s="4" t="s">
        <v>21</v>
      </c>
      <c r="D2127" s="4" t="s">
        <v>22</v>
      </c>
      <c r="E2127" s="4" t="s">
        <v>23</v>
      </c>
      <c r="F2127" s="4" t="s">
        <v>24</v>
      </c>
    </row>
    <row r="2128" spans="1:6" ht="15.75" thickBot="1" x14ac:dyDescent="0.3">
      <c r="A2128" s="32" t="s">
        <v>527</v>
      </c>
      <c r="B2128" s="32" t="s">
        <v>528</v>
      </c>
      <c r="C2128" s="32" t="s">
        <v>129</v>
      </c>
      <c r="D2128" s="6" t="s">
        <v>28</v>
      </c>
      <c r="E2128" s="6" t="s">
        <v>262</v>
      </c>
      <c r="F2128" s="6"/>
    </row>
    <row r="2129" spans="1:6" ht="15.75" thickBot="1" x14ac:dyDescent="0.3">
      <c r="A2129" s="35" t="s">
        <v>31</v>
      </c>
      <c r="B2129" s="7" t="s">
        <v>32</v>
      </c>
      <c r="C2129" s="15">
        <v>45323</v>
      </c>
      <c r="D2129" s="35" t="s">
        <v>33</v>
      </c>
      <c r="E2129" s="7" t="s">
        <v>34</v>
      </c>
      <c r="F2129" s="6"/>
    </row>
    <row r="2130" spans="1:6" ht="15.75" thickBot="1" x14ac:dyDescent="0.3">
      <c r="A2130" s="36"/>
      <c r="B2130" s="7" t="s">
        <v>36</v>
      </c>
      <c r="C2130" s="5">
        <v>1</v>
      </c>
      <c r="D2130" s="36"/>
      <c r="E2130" s="7" t="s">
        <v>37</v>
      </c>
      <c r="F2130" s="6"/>
    </row>
    <row r="2131" spans="1:6" ht="15.75" thickBot="1" x14ac:dyDescent="0.3">
      <c r="A2131" s="36"/>
      <c r="B2131" s="7" t="s">
        <v>39</v>
      </c>
      <c r="C2131" s="15">
        <v>45381</v>
      </c>
      <c r="D2131" s="36"/>
      <c r="E2131" s="7" t="s">
        <v>40</v>
      </c>
      <c r="F2131" s="6"/>
    </row>
    <row r="2132" spans="1:6" ht="15.75" thickBot="1" x14ac:dyDescent="0.3">
      <c r="A2132" s="36"/>
      <c r="B2132" s="7" t="s">
        <v>36</v>
      </c>
      <c r="C2132" s="5">
        <v>1</v>
      </c>
      <c r="D2132" s="36"/>
      <c r="E2132" s="7" t="s">
        <v>41</v>
      </c>
      <c r="F2132" s="6"/>
    </row>
    <row r="2133" spans="1:6" ht="15.75" thickBot="1" x14ac:dyDescent="0.3">
      <c r="A2133" s="2"/>
      <c r="B2133" s="2"/>
      <c r="C2133" s="2"/>
      <c r="D2133" s="2"/>
      <c r="E2133" s="2"/>
      <c r="F2133" s="2"/>
    </row>
    <row r="2134" spans="1:6" ht="15.75" thickBot="1" x14ac:dyDescent="0.3">
      <c r="A2134" s="12" t="s">
        <v>42</v>
      </c>
      <c r="B2134" s="12" t="s">
        <v>43</v>
      </c>
      <c r="C2134" s="12" t="s">
        <v>44</v>
      </c>
      <c r="D2134" s="12" t="s">
        <v>45</v>
      </c>
      <c r="E2134" s="12" t="s">
        <v>46</v>
      </c>
      <c r="F2134" s="12" t="s">
        <v>47</v>
      </c>
    </row>
    <row r="2135" spans="1:6" ht="78.75" x14ac:dyDescent="0.25">
      <c r="A2135" s="34">
        <v>78101802</v>
      </c>
      <c r="B2135" s="9" t="s">
        <v>218</v>
      </c>
      <c r="C2135" s="33" t="s">
        <v>55</v>
      </c>
      <c r="D2135" s="8">
        <v>10</v>
      </c>
      <c r="E2135" s="11">
        <v>35000</v>
      </c>
      <c r="F2135" s="10">
        <v>350000</v>
      </c>
    </row>
    <row r="2136" spans="1:6" ht="22.5" x14ac:dyDescent="0.25">
      <c r="A2136" s="34">
        <v>78111808</v>
      </c>
      <c r="B2136" s="9" t="s">
        <v>216</v>
      </c>
      <c r="C2136" s="33" t="s">
        <v>55</v>
      </c>
      <c r="D2136" s="8">
        <v>20</v>
      </c>
      <c r="E2136" s="11">
        <v>16000</v>
      </c>
      <c r="F2136" s="10">
        <v>320000</v>
      </c>
    </row>
    <row r="2137" spans="1:6" x14ac:dyDescent="0.25">
      <c r="A2137" s="2"/>
      <c r="B2137" s="2"/>
      <c r="C2137" s="2"/>
      <c r="D2137" s="2"/>
      <c r="E2137" s="13" t="s">
        <v>87</v>
      </c>
      <c r="F2137" s="14">
        <v>670000</v>
      </c>
    </row>
    <row r="2138" spans="1:6" ht="15.75" thickBot="1" x14ac:dyDescent="0.3">
      <c r="A2138" s="1"/>
      <c r="B2138" s="1"/>
      <c r="C2138" s="1"/>
      <c r="D2138" s="1"/>
      <c r="E2138" s="1"/>
      <c r="F2138" s="1"/>
    </row>
    <row r="2139" spans="1:6" ht="34.5" thickBot="1" x14ac:dyDescent="0.3">
      <c r="A2139" s="4" t="s">
        <v>19</v>
      </c>
      <c r="B2139" s="4" t="s">
        <v>20</v>
      </c>
      <c r="C2139" s="4" t="s">
        <v>21</v>
      </c>
      <c r="D2139" s="4" t="s">
        <v>22</v>
      </c>
      <c r="E2139" s="4" t="s">
        <v>23</v>
      </c>
      <c r="F2139" s="4" t="s">
        <v>24</v>
      </c>
    </row>
    <row r="2140" spans="1:6" ht="15.75" thickBot="1" x14ac:dyDescent="0.3">
      <c r="A2140" s="32" t="s">
        <v>268</v>
      </c>
      <c r="B2140" s="32" t="s">
        <v>529</v>
      </c>
      <c r="C2140" s="32" t="s">
        <v>129</v>
      </c>
      <c r="D2140" s="6" t="s">
        <v>28</v>
      </c>
      <c r="E2140" s="6" t="s">
        <v>262</v>
      </c>
      <c r="F2140" s="6"/>
    </row>
    <row r="2141" spans="1:6" ht="15.75" thickBot="1" x14ac:dyDescent="0.3">
      <c r="A2141" s="35" t="s">
        <v>31</v>
      </c>
      <c r="B2141" s="7" t="s">
        <v>32</v>
      </c>
      <c r="C2141" s="15">
        <v>45323</v>
      </c>
      <c r="D2141" s="35" t="s">
        <v>33</v>
      </c>
      <c r="E2141" s="7" t="s">
        <v>34</v>
      </c>
      <c r="F2141" s="6"/>
    </row>
    <row r="2142" spans="1:6" ht="15.75" thickBot="1" x14ac:dyDescent="0.3">
      <c r="A2142" s="36"/>
      <c r="B2142" s="7" t="s">
        <v>36</v>
      </c>
      <c r="C2142" s="5">
        <v>1</v>
      </c>
      <c r="D2142" s="36"/>
      <c r="E2142" s="7" t="s">
        <v>37</v>
      </c>
      <c r="F2142" s="6"/>
    </row>
    <row r="2143" spans="1:6" ht="15.75" thickBot="1" x14ac:dyDescent="0.3">
      <c r="A2143" s="36"/>
      <c r="B2143" s="7" t="s">
        <v>39</v>
      </c>
      <c r="C2143" s="15">
        <v>45381</v>
      </c>
      <c r="D2143" s="36"/>
      <c r="E2143" s="7" t="s">
        <v>40</v>
      </c>
      <c r="F2143" s="6"/>
    </row>
    <row r="2144" spans="1:6" ht="15.75" thickBot="1" x14ac:dyDescent="0.3">
      <c r="A2144" s="36"/>
      <c r="B2144" s="7" t="s">
        <v>36</v>
      </c>
      <c r="C2144" s="5">
        <v>1</v>
      </c>
      <c r="D2144" s="36"/>
      <c r="E2144" s="7" t="s">
        <v>41</v>
      </c>
      <c r="F2144" s="6"/>
    </row>
    <row r="2145" spans="1:6" ht="15.75" thickBot="1" x14ac:dyDescent="0.3">
      <c r="A2145" s="2"/>
      <c r="B2145" s="2"/>
      <c r="C2145" s="2"/>
      <c r="D2145" s="2"/>
      <c r="E2145" s="2"/>
      <c r="F2145" s="2"/>
    </row>
    <row r="2146" spans="1:6" ht="15.75" thickBot="1" x14ac:dyDescent="0.3">
      <c r="A2146" s="12" t="s">
        <v>42</v>
      </c>
      <c r="B2146" s="12" t="s">
        <v>43</v>
      </c>
      <c r="C2146" s="12" t="s">
        <v>44</v>
      </c>
      <c r="D2146" s="12" t="s">
        <v>45</v>
      </c>
      <c r="E2146" s="12" t="s">
        <v>46</v>
      </c>
      <c r="F2146" s="12" t="s">
        <v>47</v>
      </c>
    </row>
    <row r="2147" spans="1:6" ht="22.5" x14ac:dyDescent="0.25">
      <c r="A2147" s="8">
        <v>78111808</v>
      </c>
      <c r="B2147" s="9" t="s">
        <v>216</v>
      </c>
      <c r="C2147" s="33" t="s">
        <v>55</v>
      </c>
      <c r="D2147" s="8">
        <v>1</v>
      </c>
      <c r="E2147" s="11">
        <v>1700000</v>
      </c>
      <c r="F2147" s="10">
        <v>1700000</v>
      </c>
    </row>
    <row r="2148" spans="1:6" x14ac:dyDescent="0.25">
      <c r="A2148" s="2"/>
      <c r="B2148" s="2"/>
      <c r="C2148" s="2"/>
      <c r="D2148" s="2"/>
      <c r="E2148" s="13" t="s">
        <v>87</v>
      </c>
      <c r="F2148" s="14">
        <v>1700000</v>
      </c>
    </row>
    <row r="2149" spans="1:6" ht="15.75" thickBot="1" x14ac:dyDescent="0.3">
      <c r="A2149" s="1"/>
      <c r="B2149" s="1"/>
      <c r="C2149" s="1"/>
      <c r="D2149" s="1"/>
      <c r="E2149" s="1"/>
      <c r="F2149" s="1"/>
    </row>
    <row r="2150" spans="1:6" ht="34.5" thickBot="1" x14ac:dyDescent="0.3">
      <c r="A2150" s="4" t="s">
        <v>19</v>
      </c>
      <c r="B2150" s="4" t="s">
        <v>20</v>
      </c>
      <c r="C2150" s="4" t="s">
        <v>21</v>
      </c>
      <c r="D2150" s="4" t="s">
        <v>22</v>
      </c>
      <c r="E2150" s="4" t="s">
        <v>23</v>
      </c>
      <c r="F2150" s="4" t="s">
        <v>24</v>
      </c>
    </row>
    <row r="2151" spans="1:6" ht="15.75" thickBot="1" x14ac:dyDescent="0.3">
      <c r="A2151" s="32" t="s">
        <v>510</v>
      </c>
      <c r="B2151" s="32" t="s">
        <v>511</v>
      </c>
      <c r="C2151" s="32" t="s">
        <v>27</v>
      </c>
      <c r="D2151" s="6" t="s">
        <v>28</v>
      </c>
      <c r="E2151" s="6" t="s">
        <v>262</v>
      </c>
      <c r="F2151" s="6"/>
    </row>
    <row r="2152" spans="1:6" ht="15.75" thickBot="1" x14ac:dyDescent="0.3">
      <c r="A2152" s="35" t="s">
        <v>31</v>
      </c>
      <c r="B2152" s="7" t="s">
        <v>32</v>
      </c>
      <c r="C2152" s="15">
        <v>45323</v>
      </c>
      <c r="D2152" s="35" t="s">
        <v>33</v>
      </c>
      <c r="E2152" s="7" t="s">
        <v>34</v>
      </c>
      <c r="F2152" s="6"/>
    </row>
    <row r="2153" spans="1:6" ht="15.75" thickBot="1" x14ac:dyDescent="0.3">
      <c r="A2153" s="36"/>
      <c r="B2153" s="7" t="s">
        <v>36</v>
      </c>
      <c r="C2153" s="5">
        <v>1</v>
      </c>
      <c r="D2153" s="36"/>
      <c r="E2153" s="7" t="s">
        <v>37</v>
      </c>
      <c r="F2153" s="6"/>
    </row>
    <row r="2154" spans="1:6" ht="15.75" thickBot="1" x14ac:dyDescent="0.3">
      <c r="A2154" s="36"/>
      <c r="B2154" s="7" t="s">
        <v>39</v>
      </c>
      <c r="C2154" s="15">
        <v>45381</v>
      </c>
      <c r="D2154" s="36"/>
      <c r="E2154" s="7" t="s">
        <v>40</v>
      </c>
      <c r="F2154" s="6"/>
    </row>
    <row r="2155" spans="1:6" ht="15.75" thickBot="1" x14ac:dyDescent="0.3">
      <c r="A2155" s="36"/>
      <c r="B2155" s="7" t="s">
        <v>36</v>
      </c>
      <c r="C2155" s="5">
        <v>1</v>
      </c>
      <c r="D2155" s="36"/>
      <c r="E2155" s="7" t="s">
        <v>41</v>
      </c>
      <c r="F2155" s="6"/>
    </row>
    <row r="2156" spans="1:6" ht="15.75" thickBot="1" x14ac:dyDescent="0.3">
      <c r="A2156" s="2"/>
      <c r="B2156" s="2"/>
      <c r="C2156" s="2"/>
      <c r="D2156" s="2"/>
      <c r="E2156" s="2"/>
      <c r="F2156" s="2"/>
    </row>
    <row r="2157" spans="1:6" ht="15.75" thickBot="1" x14ac:dyDescent="0.3">
      <c r="A2157" s="12" t="s">
        <v>42</v>
      </c>
      <c r="B2157" s="12" t="s">
        <v>43</v>
      </c>
      <c r="C2157" s="12" t="s">
        <v>44</v>
      </c>
      <c r="D2157" s="12" t="s">
        <v>45</v>
      </c>
      <c r="E2157" s="12" t="s">
        <v>46</v>
      </c>
      <c r="F2157" s="12" t="s">
        <v>47</v>
      </c>
    </row>
    <row r="2158" spans="1:6" ht="22.5" x14ac:dyDescent="0.25">
      <c r="A2158" s="8">
        <v>49161608</v>
      </c>
      <c r="B2158" s="9" t="s">
        <v>512</v>
      </c>
      <c r="C2158" s="33" t="s">
        <v>55</v>
      </c>
      <c r="D2158" s="8">
        <v>100</v>
      </c>
      <c r="E2158" s="11">
        <v>1593</v>
      </c>
      <c r="F2158" s="10">
        <v>159300</v>
      </c>
    </row>
    <row r="2159" spans="1:6" ht="22.5" x14ac:dyDescent="0.25">
      <c r="A2159" s="8">
        <v>49161603</v>
      </c>
      <c r="B2159" s="9" t="s">
        <v>513</v>
      </c>
      <c r="C2159" s="33" t="s">
        <v>55</v>
      </c>
      <c r="D2159" s="8">
        <v>30</v>
      </c>
      <c r="E2159" s="11">
        <v>1640</v>
      </c>
      <c r="F2159" s="10">
        <v>49200</v>
      </c>
    </row>
    <row r="2160" spans="1:6" ht="22.5" x14ac:dyDescent="0.25">
      <c r="A2160" s="8">
        <v>49161603</v>
      </c>
      <c r="B2160" s="9" t="s">
        <v>513</v>
      </c>
      <c r="C2160" s="33" t="s">
        <v>55</v>
      </c>
      <c r="D2160" s="8">
        <v>100</v>
      </c>
      <c r="E2160" s="11">
        <v>1593</v>
      </c>
      <c r="F2160" s="10">
        <v>159300</v>
      </c>
    </row>
    <row r="2161" spans="1:6" ht="22.5" x14ac:dyDescent="0.25">
      <c r="A2161" s="8">
        <v>49161503</v>
      </c>
      <c r="B2161" s="9" t="s">
        <v>514</v>
      </c>
      <c r="C2161" s="33" t="s">
        <v>55</v>
      </c>
      <c r="D2161" s="8">
        <v>100</v>
      </c>
      <c r="E2161" s="11">
        <v>425</v>
      </c>
      <c r="F2161" s="10">
        <v>42500</v>
      </c>
    </row>
    <row r="2162" spans="1:6" ht="22.5" x14ac:dyDescent="0.25">
      <c r="A2162" s="8">
        <v>49161509</v>
      </c>
      <c r="B2162" s="9" t="s">
        <v>515</v>
      </c>
      <c r="C2162" s="33" t="s">
        <v>55</v>
      </c>
      <c r="D2162" s="8">
        <v>100</v>
      </c>
      <c r="E2162" s="11">
        <v>477.9</v>
      </c>
      <c r="F2162" s="10">
        <v>47790</v>
      </c>
    </row>
    <row r="2163" spans="1:6" ht="22.5" x14ac:dyDescent="0.25">
      <c r="A2163" s="8">
        <v>49161504</v>
      </c>
      <c r="B2163" s="9" t="s">
        <v>516</v>
      </c>
      <c r="C2163" s="33" t="s">
        <v>55</v>
      </c>
      <c r="D2163" s="8">
        <v>50</v>
      </c>
      <c r="E2163" s="11">
        <v>1593</v>
      </c>
      <c r="F2163" s="10">
        <v>79650</v>
      </c>
    </row>
    <row r="2164" spans="1:6" ht="22.5" x14ac:dyDescent="0.25">
      <c r="A2164" s="8">
        <v>49161504</v>
      </c>
      <c r="B2164" s="9" t="s">
        <v>516</v>
      </c>
      <c r="C2164" s="33" t="s">
        <v>55</v>
      </c>
      <c r="D2164" s="8">
        <v>60</v>
      </c>
      <c r="E2164" s="11">
        <v>1593</v>
      </c>
      <c r="F2164" s="10">
        <v>95580</v>
      </c>
    </row>
    <row r="2165" spans="1:6" x14ac:dyDescent="0.25">
      <c r="A2165" s="8">
        <v>49221502</v>
      </c>
      <c r="B2165" s="9" t="s">
        <v>517</v>
      </c>
      <c r="C2165" s="33" t="s">
        <v>55</v>
      </c>
      <c r="D2165" s="8">
        <v>30</v>
      </c>
      <c r="E2165" s="11">
        <v>1416</v>
      </c>
      <c r="F2165" s="10">
        <v>42480</v>
      </c>
    </row>
    <row r="2166" spans="1:6" ht="22.5" x14ac:dyDescent="0.25">
      <c r="A2166" s="8">
        <v>49181509</v>
      </c>
      <c r="B2166" s="9" t="s">
        <v>518</v>
      </c>
      <c r="C2166" s="33" t="s">
        <v>55</v>
      </c>
      <c r="D2166" s="8">
        <v>100</v>
      </c>
      <c r="E2166" s="11">
        <v>94.4</v>
      </c>
      <c r="F2166" s="10">
        <v>9440</v>
      </c>
    </row>
    <row r="2167" spans="1:6" ht="22.5" x14ac:dyDescent="0.25">
      <c r="A2167" s="8">
        <v>49161603</v>
      </c>
      <c r="B2167" s="9" t="s">
        <v>513</v>
      </c>
      <c r="C2167" s="33" t="s">
        <v>55</v>
      </c>
      <c r="D2167" s="8">
        <v>50</v>
      </c>
      <c r="E2167" s="11">
        <v>2950</v>
      </c>
      <c r="F2167" s="10">
        <v>147500</v>
      </c>
    </row>
    <row r="2168" spans="1:6" ht="22.5" x14ac:dyDescent="0.25">
      <c r="A2168" s="8">
        <v>49161603</v>
      </c>
      <c r="B2168" s="9" t="s">
        <v>513</v>
      </c>
      <c r="C2168" s="33" t="s">
        <v>55</v>
      </c>
      <c r="D2168" s="8">
        <v>25</v>
      </c>
      <c r="E2168" s="11">
        <v>3304</v>
      </c>
      <c r="F2168" s="10">
        <v>82600</v>
      </c>
    </row>
    <row r="2169" spans="1:6" ht="22.5" x14ac:dyDescent="0.25">
      <c r="A2169" s="8">
        <v>49161503</v>
      </c>
      <c r="B2169" s="9" t="s">
        <v>514</v>
      </c>
      <c r="C2169" s="33" t="s">
        <v>55</v>
      </c>
      <c r="D2169" s="8">
        <v>25</v>
      </c>
      <c r="E2169" s="11">
        <v>295</v>
      </c>
      <c r="F2169" s="10">
        <v>7375</v>
      </c>
    </row>
    <row r="2170" spans="1:6" ht="22.5" x14ac:dyDescent="0.25">
      <c r="A2170" s="8">
        <v>49221507</v>
      </c>
      <c r="B2170" s="9" t="s">
        <v>519</v>
      </c>
      <c r="C2170" s="33" t="s">
        <v>55</v>
      </c>
      <c r="D2170" s="8">
        <v>10</v>
      </c>
      <c r="E2170" s="11">
        <v>41300</v>
      </c>
      <c r="F2170" s="10">
        <v>413000</v>
      </c>
    </row>
    <row r="2171" spans="1:6" ht="22.5" x14ac:dyDescent="0.25">
      <c r="A2171" s="8">
        <v>49221505</v>
      </c>
      <c r="B2171" s="9" t="s">
        <v>520</v>
      </c>
      <c r="C2171" s="33" t="s">
        <v>55</v>
      </c>
      <c r="D2171" s="8">
        <v>25</v>
      </c>
      <c r="E2171" s="11">
        <v>241.9</v>
      </c>
      <c r="F2171" s="10">
        <v>6047.5</v>
      </c>
    </row>
    <row r="2172" spans="1:6" ht="22.5" x14ac:dyDescent="0.25">
      <c r="A2172" s="8">
        <v>49161506</v>
      </c>
      <c r="B2172" s="9" t="s">
        <v>521</v>
      </c>
      <c r="C2172" s="33" t="s">
        <v>55</v>
      </c>
      <c r="D2172" s="8">
        <v>25</v>
      </c>
      <c r="E2172" s="11">
        <v>5074</v>
      </c>
      <c r="F2172" s="10">
        <v>126850</v>
      </c>
    </row>
    <row r="2173" spans="1:6" ht="22.5" x14ac:dyDescent="0.25">
      <c r="A2173" s="8">
        <v>49161520</v>
      </c>
      <c r="B2173" s="9" t="s">
        <v>522</v>
      </c>
      <c r="C2173" s="33" t="s">
        <v>55</v>
      </c>
      <c r="D2173" s="8">
        <v>10</v>
      </c>
      <c r="E2173" s="11">
        <v>4277.5</v>
      </c>
      <c r="F2173" s="10">
        <v>42775</v>
      </c>
    </row>
    <row r="2174" spans="1:6" ht="22.5" x14ac:dyDescent="0.25">
      <c r="A2174" s="8">
        <v>49161608</v>
      </c>
      <c r="B2174" s="9" t="s">
        <v>512</v>
      </c>
      <c r="C2174" s="33" t="s">
        <v>55</v>
      </c>
      <c r="D2174" s="8">
        <v>50</v>
      </c>
      <c r="E2174" s="11">
        <v>1800</v>
      </c>
      <c r="F2174" s="10">
        <v>90000</v>
      </c>
    </row>
    <row r="2175" spans="1:6" ht="22.5" x14ac:dyDescent="0.25">
      <c r="A2175" s="8">
        <v>49161506</v>
      </c>
      <c r="B2175" s="9" t="s">
        <v>521</v>
      </c>
      <c r="C2175" s="33" t="s">
        <v>55</v>
      </c>
      <c r="D2175" s="8">
        <v>15</v>
      </c>
      <c r="E2175" s="11">
        <v>4074</v>
      </c>
      <c r="F2175" s="10">
        <v>61110</v>
      </c>
    </row>
    <row r="2176" spans="1:6" x14ac:dyDescent="0.25">
      <c r="A2176" s="2"/>
      <c r="B2176" s="2"/>
      <c r="C2176" s="2"/>
      <c r="D2176" s="2"/>
      <c r="E2176" s="13" t="s">
        <v>87</v>
      </c>
      <c r="F2176" s="14">
        <v>1662497.5</v>
      </c>
    </row>
    <row r="2177" spans="1:6" ht="15.75" thickBot="1" x14ac:dyDescent="0.3">
      <c r="A2177" s="1"/>
      <c r="B2177" s="1"/>
      <c r="C2177" s="1"/>
      <c r="D2177" s="1"/>
      <c r="E2177" s="1"/>
      <c r="F2177" s="1"/>
    </row>
    <row r="2178" spans="1:6" ht="34.5" thickBot="1" x14ac:dyDescent="0.3">
      <c r="A2178" s="4" t="s">
        <v>19</v>
      </c>
      <c r="B2178" s="4" t="s">
        <v>20</v>
      </c>
      <c r="C2178" s="4" t="s">
        <v>21</v>
      </c>
      <c r="D2178" s="4" t="s">
        <v>22</v>
      </c>
      <c r="E2178" s="4" t="s">
        <v>23</v>
      </c>
      <c r="F2178" s="4" t="s">
        <v>24</v>
      </c>
    </row>
    <row r="2179" spans="1:6" ht="15.75" thickBot="1" x14ac:dyDescent="0.3">
      <c r="A2179" s="32" t="s">
        <v>530</v>
      </c>
      <c r="B2179" s="32" t="s">
        <v>531</v>
      </c>
      <c r="C2179" s="32" t="s">
        <v>27</v>
      </c>
      <c r="D2179" s="6" t="s">
        <v>28</v>
      </c>
      <c r="E2179" s="6" t="s">
        <v>262</v>
      </c>
      <c r="F2179" s="6"/>
    </row>
    <row r="2180" spans="1:6" ht="15.75" thickBot="1" x14ac:dyDescent="0.3">
      <c r="A2180" s="35" t="s">
        <v>31</v>
      </c>
      <c r="B2180" s="7" t="s">
        <v>32</v>
      </c>
      <c r="C2180" s="15">
        <v>45323</v>
      </c>
      <c r="D2180" s="35" t="s">
        <v>33</v>
      </c>
      <c r="E2180" s="7" t="s">
        <v>34</v>
      </c>
      <c r="F2180" s="6"/>
    </row>
    <row r="2181" spans="1:6" ht="15.75" thickBot="1" x14ac:dyDescent="0.3">
      <c r="A2181" s="36"/>
      <c r="B2181" s="7" t="s">
        <v>36</v>
      </c>
      <c r="C2181" s="5">
        <v>1</v>
      </c>
      <c r="D2181" s="36"/>
      <c r="E2181" s="7" t="s">
        <v>37</v>
      </c>
      <c r="F2181" s="6"/>
    </row>
    <row r="2182" spans="1:6" ht="15.75" thickBot="1" x14ac:dyDescent="0.3">
      <c r="A2182" s="36"/>
      <c r="B2182" s="7" t="s">
        <v>39</v>
      </c>
      <c r="C2182" s="15">
        <v>45381</v>
      </c>
      <c r="D2182" s="36"/>
      <c r="E2182" s="7" t="s">
        <v>40</v>
      </c>
      <c r="F2182" s="6"/>
    </row>
    <row r="2183" spans="1:6" ht="15.75" thickBot="1" x14ac:dyDescent="0.3">
      <c r="A2183" s="36"/>
      <c r="B2183" s="7" t="s">
        <v>36</v>
      </c>
      <c r="C2183" s="5">
        <v>1</v>
      </c>
      <c r="D2183" s="36"/>
      <c r="E2183" s="7" t="s">
        <v>41</v>
      </c>
      <c r="F2183" s="6"/>
    </row>
    <row r="2184" spans="1:6" ht="15.75" thickBot="1" x14ac:dyDescent="0.3">
      <c r="A2184" s="2"/>
      <c r="B2184" s="2"/>
      <c r="C2184" s="2"/>
      <c r="D2184" s="2"/>
      <c r="E2184" s="2"/>
      <c r="F2184" s="2"/>
    </row>
    <row r="2185" spans="1:6" ht="15.75" thickBot="1" x14ac:dyDescent="0.3">
      <c r="A2185" s="12" t="s">
        <v>42</v>
      </c>
      <c r="B2185" s="12" t="s">
        <v>43</v>
      </c>
      <c r="C2185" s="12" t="s">
        <v>44</v>
      </c>
      <c r="D2185" s="12" t="s">
        <v>45</v>
      </c>
      <c r="E2185" s="12" t="s">
        <v>46</v>
      </c>
      <c r="F2185" s="12" t="s">
        <v>47</v>
      </c>
    </row>
    <row r="2186" spans="1:6" ht="22.5" x14ac:dyDescent="0.25">
      <c r="A2186" s="8">
        <v>11161704</v>
      </c>
      <c r="B2186" s="9" t="s">
        <v>532</v>
      </c>
      <c r="C2186" s="33" t="s">
        <v>55</v>
      </c>
      <c r="D2186" s="8">
        <v>2000</v>
      </c>
      <c r="E2186" s="11">
        <v>495.6</v>
      </c>
      <c r="F2186" s="10">
        <v>991200</v>
      </c>
    </row>
    <row r="2187" spans="1:6" x14ac:dyDescent="0.25">
      <c r="A2187" s="2"/>
      <c r="B2187" s="2"/>
      <c r="C2187" s="2"/>
      <c r="D2187" s="2"/>
      <c r="E2187" s="13" t="s">
        <v>87</v>
      </c>
      <c r="F2187" s="14">
        <v>991200</v>
      </c>
    </row>
    <row r="2188" spans="1:6" ht="15.75" thickBot="1" x14ac:dyDescent="0.3">
      <c r="A2188" s="1"/>
      <c r="B2188" s="1"/>
      <c r="C2188" s="1"/>
      <c r="D2188" s="1"/>
      <c r="E2188" s="1"/>
      <c r="F2188" s="1"/>
    </row>
    <row r="2189" spans="1:6" ht="34.5" thickBot="1" x14ac:dyDescent="0.3">
      <c r="A2189" s="4" t="s">
        <v>19</v>
      </c>
      <c r="B2189" s="4" t="s">
        <v>20</v>
      </c>
      <c r="C2189" s="4" t="s">
        <v>21</v>
      </c>
      <c r="D2189" s="4" t="s">
        <v>22</v>
      </c>
      <c r="E2189" s="4" t="s">
        <v>23</v>
      </c>
      <c r="F2189" s="4" t="s">
        <v>24</v>
      </c>
    </row>
    <row r="2190" spans="1:6" ht="15.75" thickBot="1" x14ac:dyDescent="0.3">
      <c r="A2190" s="32" t="s">
        <v>510</v>
      </c>
      <c r="B2190" s="32" t="s">
        <v>511</v>
      </c>
      <c r="C2190" s="6" t="s">
        <v>27</v>
      </c>
      <c r="D2190" s="6" t="s">
        <v>28</v>
      </c>
      <c r="E2190" s="6" t="s">
        <v>262</v>
      </c>
      <c r="F2190" s="6"/>
    </row>
    <row r="2191" spans="1:6" ht="15.75" thickBot="1" x14ac:dyDescent="0.3">
      <c r="A2191" s="35" t="s">
        <v>31</v>
      </c>
      <c r="B2191" s="7" t="s">
        <v>32</v>
      </c>
      <c r="C2191" s="15">
        <v>45323</v>
      </c>
      <c r="D2191" s="35" t="s">
        <v>33</v>
      </c>
      <c r="E2191" s="7" t="s">
        <v>34</v>
      </c>
      <c r="F2191" s="6"/>
    </row>
    <row r="2192" spans="1:6" ht="15.75" thickBot="1" x14ac:dyDescent="0.3">
      <c r="A2192" s="36"/>
      <c r="B2192" s="7" t="s">
        <v>36</v>
      </c>
      <c r="C2192" s="5">
        <v>1</v>
      </c>
      <c r="D2192" s="36"/>
      <c r="E2192" s="7" t="s">
        <v>37</v>
      </c>
      <c r="F2192" s="6"/>
    </row>
    <row r="2193" spans="1:6" ht="15.75" thickBot="1" x14ac:dyDescent="0.3">
      <c r="A2193" s="36"/>
      <c r="B2193" s="7" t="s">
        <v>39</v>
      </c>
      <c r="C2193" s="15">
        <v>45381</v>
      </c>
      <c r="D2193" s="36"/>
      <c r="E2193" s="7" t="s">
        <v>40</v>
      </c>
      <c r="F2193" s="6"/>
    </row>
    <row r="2194" spans="1:6" ht="15.75" thickBot="1" x14ac:dyDescent="0.3">
      <c r="A2194" s="36"/>
      <c r="B2194" s="7" t="s">
        <v>36</v>
      </c>
      <c r="C2194" s="5">
        <v>1</v>
      </c>
      <c r="D2194" s="36"/>
      <c r="E2194" s="7" t="s">
        <v>41</v>
      </c>
      <c r="F2194" s="6"/>
    </row>
    <row r="2195" spans="1:6" ht="15.75" thickBot="1" x14ac:dyDescent="0.3">
      <c r="A2195" s="2"/>
      <c r="B2195" s="2"/>
      <c r="C2195" s="2"/>
      <c r="D2195" s="2"/>
      <c r="E2195" s="2"/>
      <c r="F2195" s="2"/>
    </row>
    <row r="2196" spans="1:6" ht="15.75" thickBot="1" x14ac:dyDescent="0.3">
      <c r="A2196" s="12" t="s">
        <v>42</v>
      </c>
      <c r="B2196" s="12" t="s">
        <v>43</v>
      </c>
      <c r="C2196" s="12" t="s">
        <v>44</v>
      </c>
      <c r="D2196" s="12" t="s">
        <v>45</v>
      </c>
      <c r="E2196" s="12" t="s">
        <v>46</v>
      </c>
      <c r="F2196" s="12" t="s">
        <v>47</v>
      </c>
    </row>
    <row r="2197" spans="1:6" ht="22.5" x14ac:dyDescent="0.25">
      <c r="A2197" s="8">
        <v>49161608</v>
      </c>
      <c r="B2197" s="9" t="s">
        <v>512</v>
      </c>
      <c r="C2197" s="33" t="s">
        <v>55</v>
      </c>
      <c r="D2197" s="8">
        <v>100</v>
      </c>
      <c r="E2197" s="11">
        <v>1593</v>
      </c>
      <c r="F2197" s="10">
        <v>159300</v>
      </c>
    </row>
    <row r="2198" spans="1:6" ht="22.5" x14ac:dyDescent="0.25">
      <c r="A2198" s="8">
        <v>49161603</v>
      </c>
      <c r="B2198" s="9" t="s">
        <v>513</v>
      </c>
      <c r="C2198" s="33" t="s">
        <v>55</v>
      </c>
      <c r="D2198" s="8">
        <v>30</v>
      </c>
      <c r="E2198" s="11">
        <v>1640</v>
      </c>
      <c r="F2198" s="10">
        <v>49200</v>
      </c>
    </row>
    <row r="2199" spans="1:6" ht="22.5" x14ac:dyDescent="0.25">
      <c r="A2199" s="8">
        <v>49161603</v>
      </c>
      <c r="B2199" s="9" t="s">
        <v>513</v>
      </c>
      <c r="C2199" s="33" t="s">
        <v>55</v>
      </c>
      <c r="D2199" s="8">
        <v>100</v>
      </c>
      <c r="E2199" s="11">
        <v>1593</v>
      </c>
      <c r="F2199" s="10">
        <v>159300</v>
      </c>
    </row>
    <row r="2200" spans="1:6" ht="22.5" x14ac:dyDescent="0.25">
      <c r="A2200" s="8">
        <v>49161503</v>
      </c>
      <c r="B2200" s="9" t="s">
        <v>514</v>
      </c>
      <c r="C2200" s="33" t="s">
        <v>55</v>
      </c>
      <c r="D2200" s="8">
        <v>100</v>
      </c>
      <c r="E2200" s="11">
        <v>425</v>
      </c>
      <c r="F2200" s="10">
        <v>42500</v>
      </c>
    </row>
    <row r="2201" spans="1:6" ht="22.5" x14ac:dyDescent="0.25">
      <c r="A2201" s="8">
        <v>49161509</v>
      </c>
      <c r="B2201" s="9" t="s">
        <v>515</v>
      </c>
      <c r="C2201" s="33" t="s">
        <v>55</v>
      </c>
      <c r="D2201" s="8">
        <v>100</v>
      </c>
      <c r="E2201" s="11">
        <v>477.9</v>
      </c>
      <c r="F2201" s="10">
        <v>47790</v>
      </c>
    </row>
    <row r="2202" spans="1:6" ht="22.5" x14ac:dyDescent="0.25">
      <c r="A2202" s="8">
        <v>49161504</v>
      </c>
      <c r="B2202" s="9" t="s">
        <v>516</v>
      </c>
      <c r="C2202" s="33" t="s">
        <v>55</v>
      </c>
      <c r="D2202" s="8">
        <v>50</v>
      </c>
      <c r="E2202" s="11">
        <v>1593</v>
      </c>
      <c r="F2202" s="10">
        <v>79650</v>
      </c>
    </row>
    <row r="2203" spans="1:6" ht="22.5" x14ac:dyDescent="0.25">
      <c r="A2203" s="8">
        <v>49161504</v>
      </c>
      <c r="B2203" s="9" t="s">
        <v>516</v>
      </c>
      <c r="C2203" s="33" t="s">
        <v>55</v>
      </c>
      <c r="D2203" s="8">
        <v>60</v>
      </c>
      <c r="E2203" s="11">
        <v>1593</v>
      </c>
      <c r="F2203" s="10">
        <v>95580</v>
      </c>
    </row>
    <row r="2204" spans="1:6" x14ac:dyDescent="0.25">
      <c r="A2204" s="8">
        <v>49221502</v>
      </c>
      <c r="B2204" s="9" t="s">
        <v>517</v>
      </c>
      <c r="C2204" s="33" t="s">
        <v>55</v>
      </c>
      <c r="D2204" s="8">
        <v>30</v>
      </c>
      <c r="E2204" s="11">
        <v>1416</v>
      </c>
      <c r="F2204" s="10">
        <v>42480</v>
      </c>
    </row>
    <row r="2205" spans="1:6" ht="22.5" x14ac:dyDescent="0.25">
      <c r="A2205" s="8">
        <v>49181509</v>
      </c>
      <c r="B2205" s="9" t="s">
        <v>518</v>
      </c>
      <c r="C2205" s="33" t="s">
        <v>55</v>
      </c>
      <c r="D2205" s="8">
        <v>100</v>
      </c>
      <c r="E2205" s="11">
        <v>94.4</v>
      </c>
      <c r="F2205" s="10">
        <v>9440</v>
      </c>
    </row>
    <row r="2206" spans="1:6" ht="22.5" x14ac:dyDescent="0.25">
      <c r="A2206" s="8">
        <v>49161603</v>
      </c>
      <c r="B2206" s="9" t="s">
        <v>513</v>
      </c>
      <c r="C2206" s="33" t="s">
        <v>55</v>
      </c>
      <c r="D2206" s="8">
        <v>50</v>
      </c>
      <c r="E2206" s="11">
        <v>2950</v>
      </c>
      <c r="F2206" s="10">
        <v>147500</v>
      </c>
    </row>
    <row r="2207" spans="1:6" ht="22.5" x14ac:dyDescent="0.25">
      <c r="A2207" s="8">
        <v>49161603</v>
      </c>
      <c r="B2207" s="9" t="s">
        <v>513</v>
      </c>
      <c r="C2207" s="33" t="s">
        <v>55</v>
      </c>
      <c r="D2207" s="8">
        <v>25</v>
      </c>
      <c r="E2207" s="11">
        <v>3304</v>
      </c>
      <c r="F2207" s="10">
        <v>82600</v>
      </c>
    </row>
    <row r="2208" spans="1:6" ht="22.5" x14ac:dyDescent="0.25">
      <c r="A2208" s="8">
        <v>49161503</v>
      </c>
      <c r="B2208" s="9" t="s">
        <v>514</v>
      </c>
      <c r="C2208" s="33" t="s">
        <v>55</v>
      </c>
      <c r="D2208" s="8">
        <v>25</v>
      </c>
      <c r="E2208" s="11">
        <v>295</v>
      </c>
      <c r="F2208" s="10">
        <v>7375</v>
      </c>
    </row>
    <row r="2209" spans="1:6" ht="22.5" x14ac:dyDescent="0.25">
      <c r="A2209" s="8">
        <v>49221507</v>
      </c>
      <c r="B2209" s="9" t="s">
        <v>519</v>
      </c>
      <c r="C2209" s="33" t="s">
        <v>55</v>
      </c>
      <c r="D2209" s="8">
        <v>10</v>
      </c>
      <c r="E2209" s="11">
        <v>41300</v>
      </c>
      <c r="F2209" s="10">
        <v>413000</v>
      </c>
    </row>
    <row r="2210" spans="1:6" ht="22.5" x14ac:dyDescent="0.25">
      <c r="A2210" s="8">
        <v>49221505</v>
      </c>
      <c r="B2210" s="9" t="s">
        <v>520</v>
      </c>
      <c r="C2210" s="33" t="s">
        <v>55</v>
      </c>
      <c r="D2210" s="8">
        <v>25</v>
      </c>
      <c r="E2210" s="11">
        <v>241.9</v>
      </c>
      <c r="F2210" s="10">
        <v>6047.5</v>
      </c>
    </row>
    <row r="2211" spans="1:6" ht="22.5" x14ac:dyDescent="0.25">
      <c r="A2211" s="8">
        <v>49161506</v>
      </c>
      <c r="B2211" s="9" t="s">
        <v>521</v>
      </c>
      <c r="C2211" s="33" t="s">
        <v>55</v>
      </c>
      <c r="D2211" s="8">
        <v>25</v>
      </c>
      <c r="E2211" s="11">
        <v>5074</v>
      </c>
      <c r="F2211" s="10">
        <v>126850</v>
      </c>
    </row>
    <row r="2212" spans="1:6" ht="22.5" x14ac:dyDescent="0.25">
      <c r="A2212" s="8">
        <v>49161520</v>
      </c>
      <c r="B2212" s="9" t="s">
        <v>522</v>
      </c>
      <c r="C2212" s="33" t="s">
        <v>55</v>
      </c>
      <c r="D2212" s="8">
        <v>10</v>
      </c>
      <c r="E2212" s="11">
        <v>4277.5</v>
      </c>
      <c r="F2212" s="10">
        <v>42775</v>
      </c>
    </row>
    <row r="2213" spans="1:6" ht="22.5" x14ac:dyDescent="0.25">
      <c r="A2213" s="8">
        <v>49161608</v>
      </c>
      <c r="B2213" s="9" t="s">
        <v>512</v>
      </c>
      <c r="C2213" s="33" t="s">
        <v>55</v>
      </c>
      <c r="D2213" s="8">
        <v>50</v>
      </c>
      <c r="E2213" s="11">
        <v>1800</v>
      </c>
      <c r="F2213" s="10">
        <v>90000</v>
      </c>
    </row>
    <row r="2214" spans="1:6" ht="22.5" x14ac:dyDescent="0.25">
      <c r="A2214" s="8">
        <v>49161506</v>
      </c>
      <c r="B2214" s="9" t="s">
        <v>521</v>
      </c>
      <c r="C2214" s="33" t="s">
        <v>55</v>
      </c>
      <c r="D2214" s="8">
        <v>15</v>
      </c>
      <c r="E2214" s="11">
        <v>4074</v>
      </c>
      <c r="F2214" s="10">
        <v>61110</v>
      </c>
    </row>
    <row r="2215" spans="1:6" x14ac:dyDescent="0.25">
      <c r="A2215" s="2"/>
      <c r="B2215" s="2"/>
      <c r="C2215" s="2"/>
      <c r="D2215" s="2"/>
      <c r="E2215" s="13" t="s">
        <v>87</v>
      </c>
      <c r="F2215" s="14">
        <v>1662497.5</v>
      </c>
    </row>
    <row r="2216" spans="1:6" ht="15.75" thickBot="1" x14ac:dyDescent="0.3">
      <c r="A2216" s="1"/>
      <c r="B2216" s="1"/>
      <c r="C2216" s="1"/>
      <c r="D2216" s="1"/>
      <c r="E2216" s="1"/>
      <c r="F2216" s="1"/>
    </row>
    <row r="2217" spans="1:6" ht="34.5" thickBot="1" x14ac:dyDescent="0.3">
      <c r="A2217" s="4" t="s">
        <v>19</v>
      </c>
      <c r="B2217" s="4" t="s">
        <v>20</v>
      </c>
      <c r="C2217" s="4" t="s">
        <v>21</v>
      </c>
      <c r="D2217" s="4" t="s">
        <v>22</v>
      </c>
      <c r="E2217" s="4" t="s">
        <v>23</v>
      </c>
      <c r="F2217" s="4" t="s">
        <v>24</v>
      </c>
    </row>
    <row r="2218" spans="1:6" ht="15.75" thickBot="1" x14ac:dyDescent="0.3">
      <c r="A2218" s="32" t="s">
        <v>533</v>
      </c>
      <c r="B2218" s="32" t="s">
        <v>534</v>
      </c>
      <c r="C2218" s="32" t="s">
        <v>27</v>
      </c>
      <c r="D2218" s="6" t="s">
        <v>28</v>
      </c>
      <c r="E2218" s="6" t="s">
        <v>262</v>
      </c>
      <c r="F2218" s="6"/>
    </row>
    <row r="2219" spans="1:6" ht="15.75" thickBot="1" x14ac:dyDescent="0.3">
      <c r="A2219" s="35" t="s">
        <v>31</v>
      </c>
      <c r="B2219" s="7" t="s">
        <v>32</v>
      </c>
      <c r="C2219" s="15">
        <v>45323</v>
      </c>
      <c r="D2219" s="35" t="s">
        <v>33</v>
      </c>
      <c r="E2219" s="7" t="s">
        <v>34</v>
      </c>
      <c r="F2219" s="6"/>
    </row>
    <row r="2220" spans="1:6" ht="15.75" thickBot="1" x14ac:dyDescent="0.3">
      <c r="A2220" s="36"/>
      <c r="B2220" s="7" t="s">
        <v>36</v>
      </c>
      <c r="C2220" s="5">
        <v>1</v>
      </c>
      <c r="D2220" s="36"/>
      <c r="E2220" s="7" t="s">
        <v>37</v>
      </c>
      <c r="F2220" s="6"/>
    </row>
    <row r="2221" spans="1:6" ht="15.75" thickBot="1" x14ac:dyDescent="0.3">
      <c r="A2221" s="36"/>
      <c r="B2221" s="7" t="s">
        <v>39</v>
      </c>
      <c r="C2221" s="15">
        <v>45381</v>
      </c>
      <c r="D2221" s="36"/>
      <c r="E2221" s="7" t="s">
        <v>40</v>
      </c>
      <c r="F2221" s="6"/>
    </row>
    <row r="2222" spans="1:6" ht="15.75" thickBot="1" x14ac:dyDescent="0.3">
      <c r="A2222" s="36"/>
      <c r="B2222" s="7" t="s">
        <v>36</v>
      </c>
      <c r="C2222" s="5">
        <v>1</v>
      </c>
      <c r="D2222" s="36"/>
      <c r="E2222" s="7" t="s">
        <v>41</v>
      </c>
      <c r="F2222" s="6"/>
    </row>
    <row r="2223" spans="1:6" ht="15.75" thickBot="1" x14ac:dyDescent="0.3">
      <c r="A2223" s="2"/>
      <c r="B2223" s="2"/>
      <c r="C2223" s="2"/>
      <c r="D2223" s="2"/>
      <c r="E2223" s="2"/>
      <c r="F2223" s="2"/>
    </row>
    <row r="2224" spans="1:6" ht="15.75" thickBot="1" x14ac:dyDescent="0.3">
      <c r="A2224" s="12" t="s">
        <v>42</v>
      </c>
      <c r="B2224" s="12" t="s">
        <v>43</v>
      </c>
      <c r="C2224" s="12" t="s">
        <v>44</v>
      </c>
      <c r="D2224" s="12" t="s">
        <v>45</v>
      </c>
      <c r="E2224" s="12" t="s">
        <v>46</v>
      </c>
      <c r="F2224" s="12" t="s">
        <v>47</v>
      </c>
    </row>
    <row r="2225" spans="1:6" x14ac:dyDescent="0.25">
      <c r="A2225" s="8">
        <v>50202301</v>
      </c>
      <c r="B2225" s="9" t="s">
        <v>170</v>
      </c>
      <c r="C2225" s="33" t="s">
        <v>55</v>
      </c>
      <c r="D2225" s="8">
        <v>10000</v>
      </c>
      <c r="E2225" s="11">
        <v>160</v>
      </c>
      <c r="F2225" s="10">
        <v>1600000</v>
      </c>
    </row>
    <row r="2226" spans="1:6" x14ac:dyDescent="0.25">
      <c r="A2226" s="2"/>
      <c r="B2226" s="2"/>
      <c r="C2226" s="2"/>
      <c r="D2226" s="2"/>
      <c r="E2226" s="13" t="s">
        <v>87</v>
      </c>
      <c r="F2226" s="14">
        <v>1600000</v>
      </c>
    </row>
    <row r="2227" spans="1:6" ht="15.75" thickBot="1" x14ac:dyDescent="0.3">
      <c r="A2227" s="1"/>
      <c r="B2227" s="1"/>
      <c r="C2227" s="1"/>
      <c r="D2227" s="1"/>
      <c r="E2227" s="1"/>
      <c r="F2227" s="1"/>
    </row>
    <row r="2228" spans="1:6" ht="34.5" thickBot="1" x14ac:dyDescent="0.3">
      <c r="A2228" s="4" t="s">
        <v>19</v>
      </c>
      <c r="B2228" s="4" t="s">
        <v>20</v>
      </c>
      <c r="C2228" s="4" t="s">
        <v>21</v>
      </c>
      <c r="D2228" s="4" t="s">
        <v>22</v>
      </c>
      <c r="E2228" s="4" t="s">
        <v>23</v>
      </c>
      <c r="F2228" s="4" t="s">
        <v>24</v>
      </c>
    </row>
    <row r="2229" spans="1:6" ht="15.75" thickBot="1" x14ac:dyDescent="0.3">
      <c r="A2229" s="32" t="s">
        <v>510</v>
      </c>
      <c r="B2229" s="32" t="s">
        <v>511</v>
      </c>
      <c r="C2229" s="32" t="s">
        <v>27</v>
      </c>
      <c r="D2229" s="6" t="s">
        <v>28</v>
      </c>
      <c r="E2229" s="6" t="s">
        <v>262</v>
      </c>
      <c r="F2229" s="6"/>
    </row>
    <row r="2230" spans="1:6" ht="15.75" thickBot="1" x14ac:dyDescent="0.3">
      <c r="A2230" s="35" t="s">
        <v>31</v>
      </c>
      <c r="B2230" s="7" t="s">
        <v>32</v>
      </c>
      <c r="C2230" s="15">
        <v>45323</v>
      </c>
      <c r="D2230" s="35" t="s">
        <v>33</v>
      </c>
      <c r="E2230" s="7" t="s">
        <v>34</v>
      </c>
      <c r="F2230" s="6"/>
    </row>
    <row r="2231" spans="1:6" ht="15.75" thickBot="1" x14ac:dyDescent="0.3">
      <c r="A2231" s="36"/>
      <c r="B2231" s="7" t="s">
        <v>36</v>
      </c>
      <c r="C2231" s="5">
        <v>1</v>
      </c>
      <c r="D2231" s="36"/>
      <c r="E2231" s="7" t="s">
        <v>37</v>
      </c>
      <c r="F2231" s="6"/>
    </row>
    <row r="2232" spans="1:6" ht="15.75" thickBot="1" x14ac:dyDescent="0.3">
      <c r="A2232" s="36"/>
      <c r="B2232" s="7" t="s">
        <v>39</v>
      </c>
      <c r="C2232" s="15">
        <v>45381</v>
      </c>
      <c r="D2232" s="36"/>
      <c r="E2232" s="7" t="s">
        <v>40</v>
      </c>
      <c r="F2232" s="6"/>
    </row>
    <row r="2233" spans="1:6" ht="15.75" thickBot="1" x14ac:dyDescent="0.3">
      <c r="A2233" s="36"/>
      <c r="B2233" s="7" t="s">
        <v>36</v>
      </c>
      <c r="C2233" s="5">
        <v>1</v>
      </c>
      <c r="D2233" s="36"/>
      <c r="E2233" s="7" t="s">
        <v>41</v>
      </c>
      <c r="F2233" s="6"/>
    </row>
    <row r="2234" spans="1:6" ht="15.75" thickBot="1" x14ac:dyDescent="0.3">
      <c r="A2234" s="2"/>
      <c r="B2234" s="2"/>
      <c r="C2234" s="2"/>
      <c r="D2234" s="2"/>
      <c r="E2234" s="2"/>
      <c r="F2234" s="2"/>
    </row>
    <row r="2235" spans="1:6" ht="15.75" thickBot="1" x14ac:dyDescent="0.3">
      <c r="A2235" s="12" t="s">
        <v>42</v>
      </c>
      <c r="B2235" s="12" t="s">
        <v>43</v>
      </c>
      <c r="C2235" s="12" t="s">
        <v>44</v>
      </c>
      <c r="D2235" s="12" t="s">
        <v>45</v>
      </c>
      <c r="E2235" s="12" t="s">
        <v>46</v>
      </c>
      <c r="F2235" s="12" t="s">
        <v>47</v>
      </c>
    </row>
    <row r="2236" spans="1:6" ht="22.5" x14ac:dyDescent="0.25">
      <c r="A2236" s="8">
        <v>49161608</v>
      </c>
      <c r="B2236" s="9" t="s">
        <v>512</v>
      </c>
      <c r="C2236" s="33" t="s">
        <v>55</v>
      </c>
      <c r="D2236" s="8">
        <v>100</v>
      </c>
      <c r="E2236" s="11">
        <v>1593</v>
      </c>
      <c r="F2236" s="10">
        <v>159300</v>
      </c>
    </row>
    <row r="2237" spans="1:6" ht="22.5" x14ac:dyDescent="0.25">
      <c r="A2237" s="8">
        <v>49161603</v>
      </c>
      <c r="B2237" s="9" t="s">
        <v>513</v>
      </c>
      <c r="C2237" s="33" t="s">
        <v>55</v>
      </c>
      <c r="D2237" s="8">
        <v>30</v>
      </c>
      <c r="E2237" s="11">
        <v>1640</v>
      </c>
      <c r="F2237" s="10">
        <v>49200</v>
      </c>
    </row>
    <row r="2238" spans="1:6" ht="22.5" x14ac:dyDescent="0.25">
      <c r="A2238" s="8">
        <v>49161603</v>
      </c>
      <c r="B2238" s="9" t="s">
        <v>513</v>
      </c>
      <c r="C2238" s="33" t="s">
        <v>55</v>
      </c>
      <c r="D2238" s="8">
        <v>100</v>
      </c>
      <c r="E2238" s="11">
        <v>1593</v>
      </c>
      <c r="F2238" s="10">
        <v>159300</v>
      </c>
    </row>
    <row r="2239" spans="1:6" ht="22.5" x14ac:dyDescent="0.25">
      <c r="A2239" s="8">
        <v>49161503</v>
      </c>
      <c r="B2239" s="9" t="s">
        <v>514</v>
      </c>
      <c r="C2239" s="33" t="s">
        <v>55</v>
      </c>
      <c r="D2239" s="8">
        <v>100</v>
      </c>
      <c r="E2239" s="11">
        <v>425</v>
      </c>
      <c r="F2239" s="10">
        <v>42500</v>
      </c>
    </row>
    <row r="2240" spans="1:6" ht="22.5" x14ac:dyDescent="0.25">
      <c r="A2240" s="8">
        <v>49161509</v>
      </c>
      <c r="B2240" s="9" t="s">
        <v>515</v>
      </c>
      <c r="C2240" s="33" t="s">
        <v>55</v>
      </c>
      <c r="D2240" s="8">
        <v>100</v>
      </c>
      <c r="E2240" s="11">
        <v>477.9</v>
      </c>
      <c r="F2240" s="10">
        <v>47790</v>
      </c>
    </row>
    <row r="2241" spans="1:6" ht="22.5" x14ac:dyDescent="0.25">
      <c r="A2241" s="8">
        <v>49161504</v>
      </c>
      <c r="B2241" s="9" t="s">
        <v>516</v>
      </c>
      <c r="C2241" s="33" t="s">
        <v>55</v>
      </c>
      <c r="D2241" s="8">
        <v>50</v>
      </c>
      <c r="E2241" s="11">
        <v>1593</v>
      </c>
      <c r="F2241" s="10">
        <v>79650</v>
      </c>
    </row>
    <row r="2242" spans="1:6" ht="22.5" x14ac:dyDescent="0.25">
      <c r="A2242" s="8">
        <v>49161504</v>
      </c>
      <c r="B2242" s="9" t="s">
        <v>516</v>
      </c>
      <c r="C2242" s="33" t="s">
        <v>55</v>
      </c>
      <c r="D2242" s="8">
        <v>60</v>
      </c>
      <c r="E2242" s="11">
        <v>1593</v>
      </c>
      <c r="F2242" s="10">
        <v>95580</v>
      </c>
    </row>
    <row r="2243" spans="1:6" x14ac:dyDescent="0.25">
      <c r="A2243" s="8">
        <v>49221502</v>
      </c>
      <c r="B2243" s="9" t="s">
        <v>517</v>
      </c>
      <c r="C2243" s="33" t="s">
        <v>55</v>
      </c>
      <c r="D2243" s="8">
        <v>30</v>
      </c>
      <c r="E2243" s="11">
        <v>1416</v>
      </c>
      <c r="F2243" s="10">
        <v>42480</v>
      </c>
    </row>
    <row r="2244" spans="1:6" ht="22.5" x14ac:dyDescent="0.25">
      <c r="A2244" s="8">
        <v>49181509</v>
      </c>
      <c r="B2244" s="9" t="s">
        <v>518</v>
      </c>
      <c r="C2244" s="33" t="s">
        <v>55</v>
      </c>
      <c r="D2244" s="8">
        <v>100</v>
      </c>
      <c r="E2244" s="11">
        <v>94.4</v>
      </c>
      <c r="F2244" s="10">
        <v>9440</v>
      </c>
    </row>
    <row r="2245" spans="1:6" ht="22.5" x14ac:dyDescent="0.25">
      <c r="A2245" s="8">
        <v>49161603</v>
      </c>
      <c r="B2245" s="9" t="s">
        <v>513</v>
      </c>
      <c r="C2245" s="33" t="s">
        <v>55</v>
      </c>
      <c r="D2245" s="8">
        <v>50</v>
      </c>
      <c r="E2245" s="11">
        <v>2950</v>
      </c>
      <c r="F2245" s="10">
        <v>147500</v>
      </c>
    </row>
    <row r="2246" spans="1:6" ht="22.5" x14ac:dyDescent="0.25">
      <c r="A2246" s="8">
        <v>49161603</v>
      </c>
      <c r="B2246" s="9" t="s">
        <v>513</v>
      </c>
      <c r="C2246" s="33" t="s">
        <v>55</v>
      </c>
      <c r="D2246" s="8">
        <v>25</v>
      </c>
      <c r="E2246" s="11">
        <v>3304</v>
      </c>
      <c r="F2246" s="10">
        <v>82600</v>
      </c>
    </row>
    <row r="2247" spans="1:6" ht="22.5" x14ac:dyDescent="0.25">
      <c r="A2247" s="8">
        <v>49161503</v>
      </c>
      <c r="B2247" s="9" t="s">
        <v>514</v>
      </c>
      <c r="C2247" s="33" t="s">
        <v>55</v>
      </c>
      <c r="D2247" s="8">
        <v>25</v>
      </c>
      <c r="E2247" s="11">
        <v>295</v>
      </c>
      <c r="F2247" s="10">
        <v>7375</v>
      </c>
    </row>
    <row r="2248" spans="1:6" ht="22.5" x14ac:dyDescent="0.25">
      <c r="A2248" s="8">
        <v>49221507</v>
      </c>
      <c r="B2248" s="9" t="s">
        <v>519</v>
      </c>
      <c r="C2248" s="33" t="s">
        <v>55</v>
      </c>
      <c r="D2248" s="8">
        <v>10</v>
      </c>
      <c r="E2248" s="11">
        <v>41300</v>
      </c>
      <c r="F2248" s="10">
        <v>413000</v>
      </c>
    </row>
    <row r="2249" spans="1:6" ht="22.5" x14ac:dyDescent="0.25">
      <c r="A2249" s="8">
        <v>49221505</v>
      </c>
      <c r="B2249" s="9" t="s">
        <v>520</v>
      </c>
      <c r="C2249" s="33" t="s">
        <v>55</v>
      </c>
      <c r="D2249" s="8">
        <v>25</v>
      </c>
      <c r="E2249" s="11">
        <v>241.9</v>
      </c>
      <c r="F2249" s="10">
        <v>6047.5</v>
      </c>
    </row>
    <row r="2250" spans="1:6" ht="22.5" x14ac:dyDescent="0.25">
      <c r="A2250" s="8">
        <v>49161506</v>
      </c>
      <c r="B2250" s="9" t="s">
        <v>521</v>
      </c>
      <c r="C2250" s="33" t="s">
        <v>55</v>
      </c>
      <c r="D2250" s="8">
        <v>25</v>
      </c>
      <c r="E2250" s="11">
        <v>5074</v>
      </c>
      <c r="F2250" s="10">
        <v>126850</v>
      </c>
    </row>
    <row r="2251" spans="1:6" ht="22.5" x14ac:dyDescent="0.25">
      <c r="A2251" s="8">
        <v>49161520</v>
      </c>
      <c r="B2251" s="9" t="s">
        <v>522</v>
      </c>
      <c r="C2251" s="33" t="s">
        <v>55</v>
      </c>
      <c r="D2251" s="8">
        <v>10</v>
      </c>
      <c r="E2251" s="11">
        <v>4277.5</v>
      </c>
      <c r="F2251" s="10">
        <v>42775</v>
      </c>
    </row>
    <row r="2252" spans="1:6" ht="22.5" x14ac:dyDescent="0.25">
      <c r="A2252" s="8">
        <v>49161608</v>
      </c>
      <c r="B2252" s="9" t="s">
        <v>512</v>
      </c>
      <c r="C2252" s="33" t="s">
        <v>55</v>
      </c>
      <c r="D2252" s="8">
        <v>50</v>
      </c>
      <c r="E2252" s="11">
        <v>1800</v>
      </c>
      <c r="F2252" s="10">
        <v>90000</v>
      </c>
    </row>
    <row r="2253" spans="1:6" ht="22.5" x14ac:dyDescent="0.25">
      <c r="A2253" s="8">
        <v>49161506</v>
      </c>
      <c r="B2253" s="9" t="s">
        <v>521</v>
      </c>
      <c r="C2253" s="33" t="s">
        <v>55</v>
      </c>
      <c r="D2253" s="8">
        <v>15</v>
      </c>
      <c r="E2253" s="11">
        <v>4074</v>
      </c>
      <c r="F2253" s="10">
        <v>61110</v>
      </c>
    </row>
    <row r="2254" spans="1:6" x14ac:dyDescent="0.25">
      <c r="A2254" s="2"/>
      <c r="B2254" s="2"/>
      <c r="C2254" s="2"/>
      <c r="D2254" s="2"/>
      <c r="E2254" s="13" t="s">
        <v>87</v>
      </c>
      <c r="F2254" s="14">
        <v>1662497.5</v>
      </c>
    </row>
    <row r="2255" spans="1:6" ht="15.75" thickBot="1" x14ac:dyDescent="0.3">
      <c r="A2255" s="1"/>
      <c r="B2255" s="1"/>
      <c r="C2255" s="1"/>
      <c r="D2255" s="1"/>
      <c r="E2255" s="1"/>
      <c r="F2255" s="1"/>
    </row>
    <row r="2256" spans="1:6" ht="34.5" thickBot="1" x14ac:dyDescent="0.3">
      <c r="A2256" s="4" t="s">
        <v>19</v>
      </c>
      <c r="B2256" s="4" t="s">
        <v>20</v>
      </c>
      <c r="C2256" s="4" t="s">
        <v>21</v>
      </c>
      <c r="D2256" s="4" t="s">
        <v>22</v>
      </c>
      <c r="E2256" s="4" t="s">
        <v>23</v>
      </c>
      <c r="F2256" s="4" t="s">
        <v>24</v>
      </c>
    </row>
    <row r="2257" spans="1:6" ht="15.75" thickBot="1" x14ac:dyDescent="0.3">
      <c r="A2257" s="32" t="s">
        <v>535</v>
      </c>
      <c r="B2257" s="32" t="s">
        <v>536</v>
      </c>
      <c r="C2257" s="32" t="s">
        <v>27</v>
      </c>
      <c r="D2257" s="6" t="s">
        <v>28</v>
      </c>
      <c r="E2257" s="6" t="s">
        <v>262</v>
      </c>
      <c r="F2257" s="6"/>
    </row>
    <row r="2258" spans="1:6" ht="15.75" thickBot="1" x14ac:dyDescent="0.3">
      <c r="A2258" s="35" t="s">
        <v>31</v>
      </c>
      <c r="B2258" s="7" t="s">
        <v>32</v>
      </c>
      <c r="C2258" s="15">
        <v>45323</v>
      </c>
      <c r="D2258" s="35" t="s">
        <v>33</v>
      </c>
      <c r="E2258" s="7" t="s">
        <v>34</v>
      </c>
      <c r="F2258" s="6"/>
    </row>
    <row r="2259" spans="1:6" ht="15.75" thickBot="1" x14ac:dyDescent="0.3">
      <c r="A2259" s="36"/>
      <c r="B2259" s="7" t="s">
        <v>36</v>
      </c>
      <c r="C2259" s="5">
        <v>1</v>
      </c>
      <c r="D2259" s="36"/>
      <c r="E2259" s="7" t="s">
        <v>37</v>
      </c>
      <c r="F2259" s="6"/>
    </row>
    <row r="2260" spans="1:6" ht="15.75" thickBot="1" x14ac:dyDescent="0.3">
      <c r="A2260" s="36"/>
      <c r="B2260" s="7" t="s">
        <v>39</v>
      </c>
      <c r="C2260" s="15">
        <v>45381</v>
      </c>
      <c r="D2260" s="36"/>
      <c r="E2260" s="7" t="s">
        <v>40</v>
      </c>
      <c r="F2260" s="6"/>
    </row>
    <row r="2261" spans="1:6" ht="15.75" thickBot="1" x14ac:dyDescent="0.3">
      <c r="A2261" s="36"/>
      <c r="B2261" s="7" t="s">
        <v>36</v>
      </c>
      <c r="C2261" s="5">
        <v>1</v>
      </c>
      <c r="D2261" s="36"/>
      <c r="E2261" s="7" t="s">
        <v>41</v>
      </c>
      <c r="F2261" s="6"/>
    </row>
    <row r="2262" spans="1:6" ht="15.75" thickBot="1" x14ac:dyDescent="0.3">
      <c r="A2262" s="2"/>
      <c r="B2262" s="2"/>
      <c r="C2262" s="2"/>
      <c r="D2262" s="2"/>
      <c r="E2262" s="2"/>
      <c r="F2262" s="2"/>
    </row>
    <row r="2263" spans="1:6" ht="15.75" thickBot="1" x14ac:dyDescent="0.3">
      <c r="A2263" s="12" t="s">
        <v>42</v>
      </c>
      <c r="B2263" s="12" t="s">
        <v>43</v>
      </c>
      <c r="C2263" s="12" t="s">
        <v>44</v>
      </c>
      <c r="D2263" s="12" t="s">
        <v>45</v>
      </c>
      <c r="E2263" s="12" t="s">
        <v>46</v>
      </c>
      <c r="F2263" s="12" t="s">
        <v>47</v>
      </c>
    </row>
    <row r="2264" spans="1:6" x14ac:dyDescent="0.25">
      <c r="A2264" s="8">
        <v>60101401</v>
      </c>
      <c r="B2264" s="9" t="s">
        <v>537</v>
      </c>
      <c r="C2264" s="33" t="s">
        <v>55</v>
      </c>
      <c r="D2264" s="8">
        <v>1500</v>
      </c>
      <c r="E2264" s="11">
        <v>650</v>
      </c>
      <c r="F2264" s="10">
        <v>975000</v>
      </c>
    </row>
    <row r="2265" spans="1:6" x14ac:dyDescent="0.25">
      <c r="A2265" s="8">
        <v>60101401</v>
      </c>
      <c r="B2265" s="9" t="s">
        <v>537</v>
      </c>
      <c r="C2265" s="33" t="s">
        <v>55</v>
      </c>
      <c r="D2265" s="8">
        <v>1000</v>
      </c>
      <c r="E2265" s="11">
        <v>650</v>
      </c>
      <c r="F2265" s="10">
        <v>650000</v>
      </c>
    </row>
    <row r="2266" spans="1:6" x14ac:dyDescent="0.25">
      <c r="A2266" s="2"/>
      <c r="B2266" s="2"/>
      <c r="C2266" s="2"/>
      <c r="D2266" s="2"/>
      <c r="E2266" s="13" t="s">
        <v>87</v>
      </c>
      <c r="F2266" s="14">
        <v>1625000</v>
      </c>
    </row>
    <row r="2267" spans="1:6" ht="15.75" thickBot="1" x14ac:dyDescent="0.3">
      <c r="A2267" s="1"/>
      <c r="B2267" s="1"/>
      <c r="C2267" s="1"/>
      <c r="D2267" s="1"/>
      <c r="E2267" s="1"/>
      <c r="F2267" s="1"/>
    </row>
    <row r="2268" spans="1:6" ht="34.5" thickBot="1" x14ac:dyDescent="0.3">
      <c r="A2268" s="4" t="s">
        <v>19</v>
      </c>
      <c r="B2268" s="4" t="s">
        <v>20</v>
      </c>
      <c r="C2268" s="4" t="s">
        <v>21</v>
      </c>
      <c r="D2268" s="4" t="s">
        <v>22</v>
      </c>
      <c r="E2268" s="4" t="s">
        <v>23</v>
      </c>
      <c r="F2268" s="4" t="s">
        <v>24</v>
      </c>
    </row>
    <row r="2269" spans="1:6" ht="15.75" thickBot="1" x14ac:dyDescent="0.3">
      <c r="A2269" s="32" t="s">
        <v>538</v>
      </c>
      <c r="B2269" s="32" t="s">
        <v>539</v>
      </c>
      <c r="C2269" s="32" t="s">
        <v>27</v>
      </c>
      <c r="D2269" s="6" t="s">
        <v>28</v>
      </c>
      <c r="E2269" s="6" t="s">
        <v>262</v>
      </c>
      <c r="F2269" s="6"/>
    </row>
    <row r="2270" spans="1:6" ht="15.75" thickBot="1" x14ac:dyDescent="0.3">
      <c r="A2270" s="35" t="s">
        <v>31</v>
      </c>
      <c r="B2270" s="7" t="s">
        <v>32</v>
      </c>
      <c r="C2270" s="15">
        <v>45323</v>
      </c>
      <c r="D2270" s="35" t="s">
        <v>33</v>
      </c>
      <c r="E2270" s="7" t="s">
        <v>34</v>
      </c>
      <c r="F2270" s="6"/>
    </row>
    <row r="2271" spans="1:6" ht="15.75" thickBot="1" x14ac:dyDescent="0.3">
      <c r="A2271" s="36"/>
      <c r="B2271" s="7" t="s">
        <v>36</v>
      </c>
      <c r="C2271" s="5">
        <v>1</v>
      </c>
      <c r="D2271" s="36"/>
      <c r="E2271" s="7" t="s">
        <v>37</v>
      </c>
      <c r="F2271" s="6"/>
    </row>
    <row r="2272" spans="1:6" ht="15.75" thickBot="1" x14ac:dyDescent="0.3">
      <c r="A2272" s="36"/>
      <c r="B2272" s="7" t="s">
        <v>39</v>
      </c>
      <c r="C2272" s="15">
        <v>45381</v>
      </c>
      <c r="D2272" s="36"/>
      <c r="E2272" s="7" t="s">
        <v>40</v>
      </c>
      <c r="F2272" s="6"/>
    </row>
    <row r="2273" spans="1:6" ht="15.75" thickBot="1" x14ac:dyDescent="0.3">
      <c r="A2273" s="36"/>
      <c r="B2273" s="7" t="s">
        <v>36</v>
      </c>
      <c r="C2273" s="5">
        <v>1</v>
      </c>
      <c r="D2273" s="36"/>
      <c r="E2273" s="7" t="s">
        <v>41</v>
      </c>
      <c r="F2273" s="6"/>
    </row>
    <row r="2274" spans="1:6" ht="15.75" thickBot="1" x14ac:dyDescent="0.3">
      <c r="A2274" s="2"/>
      <c r="B2274" s="2"/>
      <c r="C2274" s="2"/>
      <c r="D2274" s="2"/>
      <c r="E2274" s="2"/>
      <c r="F2274" s="2"/>
    </row>
    <row r="2275" spans="1:6" ht="15.75" thickBot="1" x14ac:dyDescent="0.3">
      <c r="A2275" s="12" t="s">
        <v>42</v>
      </c>
      <c r="B2275" s="12" t="s">
        <v>43</v>
      </c>
      <c r="C2275" s="12" t="s">
        <v>44</v>
      </c>
      <c r="D2275" s="12" t="s">
        <v>45</v>
      </c>
      <c r="E2275" s="12" t="s">
        <v>46</v>
      </c>
      <c r="F2275" s="12" t="s">
        <v>47</v>
      </c>
    </row>
    <row r="2276" spans="1:6" ht="22.5" x14ac:dyDescent="0.25">
      <c r="A2276" s="8">
        <v>53103001</v>
      </c>
      <c r="B2276" s="9" t="s">
        <v>152</v>
      </c>
      <c r="C2276" s="33" t="s">
        <v>55</v>
      </c>
      <c r="D2276" s="8">
        <v>5000</v>
      </c>
      <c r="E2276" s="11">
        <v>350</v>
      </c>
      <c r="F2276" s="10">
        <v>1750000</v>
      </c>
    </row>
    <row r="2277" spans="1:6" x14ac:dyDescent="0.25">
      <c r="A2277" s="2"/>
      <c r="B2277" s="2"/>
      <c r="C2277" s="2"/>
      <c r="D2277" s="2"/>
      <c r="E2277" s="13" t="s">
        <v>87</v>
      </c>
      <c r="F2277" s="14">
        <v>1750000</v>
      </c>
    </row>
    <row r="2278" spans="1:6" ht="15.75" thickBot="1" x14ac:dyDescent="0.3">
      <c r="A2278" s="1"/>
      <c r="B2278" s="1"/>
      <c r="C2278" s="1"/>
      <c r="D2278" s="1"/>
      <c r="E2278" s="1"/>
      <c r="F2278" s="1"/>
    </row>
    <row r="2279" spans="1:6" ht="34.5" thickBot="1" x14ac:dyDescent="0.3">
      <c r="A2279" s="4" t="s">
        <v>19</v>
      </c>
      <c r="B2279" s="4" t="s">
        <v>20</v>
      </c>
      <c r="C2279" s="4" t="s">
        <v>21</v>
      </c>
      <c r="D2279" s="4" t="s">
        <v>22</v>
      </c>
      <c r="E2279" s="4" t="s">
        <v>23</v>
      </c>
      <c r="F2279" s="4" t="s">
        <v>24</v>
      </c>
    </row>
    <row r="2280" spans="1:6" ht="15.75" thickBot="1" x14ac:dyDescent="0.3">
      <c r="A2280" s="32" t="s">
        <v>510</v>
      </c>
      <c r="B2280" s="32" t="s">
        <v>511</v>
      </c>
      <c r="C2280" s="32" t="s">
        <v>27</v>
      </c>
      <c r="D2280" s="6" t="s">
        <v>28</v>
      </c>
      <c r="E2280" s="6" t="s">
        <v>262</v>
      </c>
      <c r="F2280" s="6"/>
    </row>
    <row r="2281" spans="1:6" ht="15.75" thickBot="1" x14ac:dyDescent="0.3">
      <c r="A2281" s="35" t="s">
        <v>31</v>
      </c>
      <c r="B2281" s="7" t="s">
        <v>32</v>
      </c>
      <c r="C2281" s="15">
        <v>45323</v>
      </c>
      <c r="D2281" s="35" t="s">
        <v>33</v>
      </c>
      <c r="E2281" s="7" t="s">
        <v>34</v>
      </c>
      <c r="F2281" s="6"/>
    </row>
    <row r="2282" spans="1:6" ht="15.75" thickBot="1" x14ac:dyDescent="0.3">
      <c r="A2282" s="36"/>
      <c r="B2282" s="7" t="s">
        <v>36</v>
      </c>
      <c r="C2282" s="5">
        <v>1</v>
      </c>
      <c r="D2282" s="36"/>
      <c r="E2282" s="7" t="s">
        <v>37</v>
      </c>
      <c r="F2282" s="6"/>
    </row>
    <row r="2283" spans="1:6" ht="15.75" thickBot="1" x14ac:dyDescent="0.3">
      <c r="A2283" s="36"/>
      <c r="B2283" s="7" t="s">
        <v>39</v>
      </c>
      <c r="C2283" s="15">
        <v>45381</v>
      </c>
      <c r="D2283" s="36"/>
      <c r="E2283" s="7" t="s">
        <v>40</v>
      </c>
      <c r="F2283" s="6"/>
    </row>
    <row r="2284" spans="1:6" ht="15.75" thickBot="1" x14ac:dyDescent="0.3">
      <c r="A2284" s="36"/>
      <c r="B2284" s="7" t="s">
        <v>36</v>
      </c>
      <c r="C2284" s="5">
        <v>1</v>
      </c>
      <c r="D2284" s="36"/>
      <c r="E2284" s="7" t="s">
        <v>41</v>
      </c>
      <c r="F2284" s="6"/>
    </row>
    <row r="2285" spans="1:6" ht="15.75" thickBot="1" x14ac:dyDescent="0.3">
      <c r="A2285" s="2"/>
      <c r="B2285" s="2"/>
      <c r="C2285" s="2"/>
      <c r="D2285" s="2"/>
      <c r="E2285" s="2"/>
      <c r="F2285" s="2"/>
    </row>
    <row r="2286" spans="1:6" ht="15.75" thickBot="1" x14ac:dyDescent="0.3">
      <c r="A2286" s="12" t="s">
        <v>42</v>
      </c>
      <c r="B2286" s="12" t="s">
        <v>43</v>
      </c>
      <c r="C2286" s="12" t="s">
        <v>44</v>
      </c>
      <c r="D2286" s="12" t="s">
        <v>45</v>
      </c>
      <c r="E2286" s="12" t="s">
        <v>46</v>
      </c>
      <c r="F2286" s="12" t="s">
        <v>47</v>
      </c>
    </row>
    <row r="2287" spans="1:6" ht="22.5" x14ac:dyDescent="0.25">
      <c r="A2287" s="8">
        <v>49161608</v>
      </c>
      <c r="B2287" s="9" t="s">
        <v>512</v>
      </c>
      <c r="C2287" s="33" t="s">
        <v>55</v>
      </c>
      <c r="D2287" s="8">
        <v>100</v>
      </c>
      <c r="E2287" s="11">
        <v>1593</v>
      </c>
      <c r="F2287" s="10">
        <v>159300</v>
      </c>
    </row>
    <row r="2288" spans="1:6" ht="22.5" x14ac:dyDescent="0.25">
      <c r="A2288" s="8">
        <v>49161603</v>
      </c>
      <c r="B2288" s="9" t="s">
        <v>513</v>
      </c>
      <c r="C2288" s="33" t="s">
        <v>55</v>
      </c>
      <c r="D2288" s="8">
        <v>30</v>
      </c>
      <c r="E2288" s="11">
        <v>1640</v>
      </c>
      <c r="F2288" s="10">
        <v>49200</v>
      </c>
    </row>
    <row r="2289" spans="1:6" ht="22.5" x14ac:dyDescent="0.25">
      <c r="A2289" s="8">
        <v>49161603</v>
      </c>
      <c r="B2289" s="9" t="s">
        <v>513</v>
      </c>
      <c r="C2289" s="33" t="s">
        <v>55</v>
      </c>
      <c r="D2289" s="8">
        <v>100</v>
      </c>
      <c r="E2289" s="11">
        <v>1593</v>
      </c>
      <c r="F2289" s="10">
        <v>159300</v>
      </c>
    </row>
    <row r="2290" spans="1:6" ht="22.5" x14ac:dyDescent="0.25">
      <c r="A2290" s="8">
        <v>49161503</v>
      </c>
      <c r="B2290" s="9" t="s">
        <v>514</v>
      </c>
      <c r="C2290" s="33" t="s">
        <v>55</v>
      </c>
      <c r="D2290" s="8">
        <v>100</v>
      </c>
      <c r="E2290" s="11">
        <v>425</v>
      </c>
      <c r="F2290" s="10">
        <v>42500</v>
      </c>
    </row>
    <row r="2291" spans="1:6" ht="22.5" x14ac:dyDescent="0.25">
      <c r="A2291" s="8">
        <v>49161509</v>
      </c>
      <c r="B2291" s="9" t="s">
        <v>515</v>
      </c>
      <c r="C2291" s="33" t="s">
        <v>55</v>
      </c>
      <c r="D2291" s="8">
        <v>100</v>
      </c>
      <c r="E2291" s="11">
        <v>477.9</v>
      </c>
      <c r="F2291" s="10">
        <v>47790</v>
      </c>
    </row>
    <row r="2292" spans="1:6" ht="22.5" x14ac:dyDescent="0.25">
      <c r="A2292" s="8">
        <v>49161504</v>
      </c>
      <c r="B2292" s="9" t="s">
        <v>516</v>
      </c>
      <c r="C2292" s="33" t="s">
        <v>55</v>
      </c>
      <c r="D2292" s="8">
        <v>50</v>
      </c>
      <c r="E2292" s="11">
        <v>1593</v>
      </c>
      <c r="F2292" s="10">
        <v>79650</v>
      </c>
    </row>
    <row r="2293" spans="1:6" ht="22.5" x14ac:dyDescent="0.25">
      <c r="A2293" s="8">
        <v>49161504</v>
      </c>
      <c r="B2293" s="9" t="s">
        <v>516</v>
      </c>
      <c r="C2293" s="33" t="s">
        <v>55</v>
      </c>
      <c r="D2293" s="8">
        <v>60</v>
      </c>
      <c r="E2293" s="11">
        <v>1593</v>
      </c>
      <c r="F2293" s="10">
        <v>95580</v>
      </c>
    </row>
    <row r="2294" spans="1:6" x14ac:dyDescent="0.25">
      <c r="A2294" s="8">
        <v>49221502</v>
      </c>
      <c r="B2294" s="9" t="s">
        <v>517</v>
      </c>
      <c r="C2294" s="33" t="s">
        <v>55</v>
      </c>
      <c r="D2294" s="8">
        <v>30</v>
      </c>
      <c r="E2294" s="11">
        <v>1416</v>
      </c>
      <c r="F2294" s="10">
        <v>42480</v>
      </c>
    </row>
    <row r="2295" spans="1:6" ht="22.5" x14ac:dyDescent="0.25">
      <c r="A2295" s="8">
        <v>49181509</v>
      </c>
      <c r="B2295" s="9" t="s">
        <v>518</v>
      </c>
      <c r="C2295" s="33" t="s">
        <v>55</v>
      </c>
      <c r="D2295" s="8">
        <v>100</v>
      </c>
      <c r="E2295" s="11">
        <v>94.4</v>
      </c>
      <c r="F2295" s="10">
        <v>9440</v>
      </c>
    </row>
    <row r="2296" spans="1:6" ht="22.5" x14ac:dyDescent="0.25">
      <c r="A2296" s="8">
        <v>49161603</v>
      </c>
      <c r="B2296" s="9" t="s">
        <v>513</v>
      </c>
      <c r="C2296" s="33" t="s">
        <v>55</v>
      </c>
      <c r="D2296" s="8">
        <v>50</v>
      </c>
      <c r="E2296" s="11">
        <v>2950</v>
      </c>
      <c r="F2296" s="10">
        <v>147500</v>
      </c>
    </row>
    <row r="2297" spans="1:6" ht="22.5" x14ac:dyDescent="0.25">
      <c r="A2297" s="8">
        <v>49161603</v>
      </c>
      <c r="B2297" s="9" t="s">
        <v>513</v>
      </c>
      <c r="C2297" s="33" t="s">
        <v>55</v>
      </c>
      <c r="D2297" s="8">
        <v>25</v>
      </c>
      <c r="E2297" s="11">
        <v>3304</v>
      </c>
      <c r="F2297" s="10">
        <v>82600</v>
      </c>
    </row>
    <row r="2298" spans="1:6" ht="22.5" x14ac:dyDescent="0.25">
      <c r="A2298" s="8">
        <v>49161503</v>
      </c>
      <c r="B2298" s="9" t="s">
        <v>514</v>
      </c>
      <c r="C2298" s="33" t="s">
        <v>55</v>
      </c>
      <c r="D2298" s="8">
        <v>25</v>
      </c>
      <c r="E2298" s="11">
        <v>295</v>
      </c>
      <c r="F2298" s="10">
        <v>7375</v>
      </c>
    </row>
    <row r="2299" spans="1:6" ht="22.5" x14ac:dyDescent="0.25">
      <c r="A2299" s="8">
        <v>49221507</v>
      </c>
      <c r="B2299" s="9" t="s">
        <v>519</v>
      </c>
      <c r="C2299" s="33" t="s">
        <v>55</v>
      </c>
      <c r="D2299" s="8">
        <v>10</v>
      </c>
      <c r="E2299" s="11">
        <v>41300</v>
      </c>
      <c r="F2299" s="10">
        <v>413000</v>
      </c>
    </row>
    <row r="2300" spans="1:6" ht="22.5" x14ac:dyDescent="0.25">
      <c r="A2300" s="8">
        <v>49221505</v>
      </c>
      <c r="B2300" s="9" t="s">
        <v>520</v>
      </c>
      <c r="C2300" s="33" t="s">
        <v>55</v>
      </c>
      <c r="D2300" s="8">
        <v>25</v>
      </c>
      <c r="E2300" s="11">
        <v>241.9</v>
      </c>
      <c r="F2300" s="10">
        <v>6047.5</v>
      </c>
    </row>
    <row r="2301" spans="1:6" ht="22.5" x14ac:dyDescent="0.25">
      <c r="A2301" s="8">
        <v>49161506</v>
      </c>
      <c r="B2301" s="9" t="s">
        <v>521</v>
      </c>
      <c r="C2301" s="33" t="s">
        <v>55</v>
      </c>
      <c r="D2301" s="8">
        <v>25</v>
      </c>
      <c r="E2301" s="11">
        <v>5074</v>
      </c>
      <c r="F2301" s="10">
        <v>126850</v>
      </c>
    </row>
    <row r="2302" spans="1:6" ht="22.5" x14ac:dyDescent="0.25">
      <c r="A2302" s="8">
        <v>49161520</v>
      </c>
      <c r="B2302" s="9" t="s">
        <v>522</v>
      </c>
      <c r="C2302" s="33" t="s">
        <v>55</v>
      </c>
      <c r="D2302" s="8">
        <v>10</v>
      </c>
      <c r="E2302" s="11">
        <v>4277.5</v>
      </c>
      <c r="F2302" s="10">
        <v>42775</v>
      </c>
    </row>
    <row r="2303" spans="1:6" ht="22.5" x14ac:dyDescent="0.25">
      <c r="A2303" s="8">
        <v>49161608</v>
      </c>
      <c r="B2303" s="9" t="s">
        <v>512</v>
      </c>
      <c r="C2303" s="33" t="s">
        <v>55</v>
      </c>
      <c r="D2303" s="8">
        <v>50</v>
      </c>
      <c r="E2303" s="11">
        <v>1800</v>
      </c>
      <c r="F2303" s="10">
        <v>90000</v>
      </c>
    </row>
    <row r="2304" spans="1:6" ht="22.5" x14ac:dyDescent="0.25">
      <c r="A2304" s="8">
        <v>49161506</v>
      </c>
      <c r="B2304" s="9" t="s">
        <v>521</v>
      </c>
      <c r="C2304" s="33" t="s">
        <v>55</v>
      </c>
      <c r="D2304" s="8">
        <v>15</v>
      </c>
      <c r="E2304" s="11">
        <v>4074</v>
      </c>
      <c r="F2304" s="10">
        <v>61110</v>
      </c>
    </row>
    <row r="2305" spans="1:6" x14ac:dyDescent="0.25">
      <c r="A2305" s="2"/>
      <c r="B2305" s="2"/>
      <c r="C2305" s="2"/>
      <c r="D2305" s="2"/>
      <c r="E2305" s="13" t="s">
        <v>87</v>
      </c>
      <c r="F2305" s="14">
        <v>1662497.5</v>
      </c>
    </row>
    <row r="2306" spans="1:6" ht="15.75" thickBot="1" x14ac:dyDescent="0.3">
      <c r="A2306" s="1"/>
      <c r="B2306" s="1"/>
      <c r="C2306" s="1"/>
      <c r="D2306" s="1"/>
      <c r="E2306" s="1"/>
      <c r="F2306" s="1"/>
    </row>
    <row r="2307" spans="1:6" ht="34.5" thickBot="1" x14ac:dyDescent="0.3">
      <c r="A2307" s="4" t="s">
        <v>19</v>
      </c>
      <c r="B2307" s="4" t="s">
        <v>20</v>
      </c>
      <c r="C2307" s="4" t="s">
        <v>21</v>
      </c>
      <c r="D2307" s="4" t="s">
        <v>22</v>
      </c>
      <c r="E2307" s="4" t="s">
        <v>23</v>
      </c>
      <c r="F2307" s="4" t="s">
        <v>24</v>
      </c>
    </row>
    <row r="2308" spans="1:6" ht="15.75" thickBot="1" x14ac:dyDescent="0.3">
      <c r="A2308" s="32" t="s">
        <v>540</v>
      </c>
      <c r="B2308" s="32" t="s">
        <v>541</v>
      </c>
      <c r="C2308" s="32" t="s">
        <v>129</v>
      </c>
      <c r="D2308" s="6" t="s">
        <v>28</v>
      </c>
      <c r="E2308" s="6" t="s">
        <v>262</v>
      </c>
      <c r="F2308" s="6"/>
    </row>
    <row r="2309" spans="1:6" ht="15.75" thickBot="1" x14ac:dyDescent="0.3">
      <c r="A2309" s="35" t="s">
        <v>31</v>
      </c>
      <c r="B2309" s="7" t="s">
        <v>32</v>
      </c>
      <c r="C2309" s="15">
        <v>45323</v>
      </c>
      <c r="D2309" s="35" t="s">
        <v>33</v>
      </c>
      <c r="E2309" s="7" t="s">
        <v>34</v>
      </c>
      <c r="F2309" s="6"/>
    </row>
    <row r="2310" spans="1:6" ht="15.75" thickBot="1" x14ac:dyDescent="0.3">
      <c r="A2310" s="36"/>
      <c r="B2310" s="7" t="s">
        <v>36</v>
      </c>
      <c r="C2310" s="5">
        <v>1</v>
      </c>
      <c r="D2310" s="36"/>
      <c r="E2310" s="7" t="s">
        <v>37</v>
      </c>
      <c r="F2310" s="6"/>
    </row>
    <row r="2311" spans="1:6" ht="15.75" thickBot="1" x14ac:dyDescent="0.3">
      <c r="A2311" s="36"/>
      <c r="B2311" s="7" t="s">
        <v>39</v>
      </c>
      <c r="C2311" s="15">
        <v>45381</v>
      </c>
      <c r="D2311" s="36"/>
      <c r="E2311" s="7" t="s">
        <v>40</v>
      </c>
      <c r="F2311" s="6"/>
    </row>
    <row r="2312" spans="1:6" ht="15.75" thickBot="1" x14ac:dyDescent="0.3">
      <c r="A2312" s="36"/>
      <c r="B2312" s="7" t="s">
        <v>36</v>
      </c>
      <c r="C2312" s="5">
        <v>1</v>
      </c>
      <c r="D2312" s="36"/>
      <c r="E2312" s="7" t="s">
        <v>41</v>
      </c>
      <c r="F2312" s="6"/>
    </row>
    <row r="2313" spans="1:6" ht="15.75" thickBot="1" x14ac:dyDescent="0.3">
      <c r="A2313" s="2"/>
      <c r="B2313" s="2"/>
      <c r="C2313" s="2"/>
      <c r="D2313" s="2"/>
      <c r="E2313" s="2"/>
      <c r="F2313" s="2"/>
    </row>
    <row r="2314" spans="1:6" ht="15.75" thickBot="1" x14ac:dyDescent="0.3">
      <c r="A2314" s="12" t="s">
        <v>42</v>
      </c>
      <c r="B2314" s="12" t="s">
        <v>43</v>
      </c>
      <c r="C2314" s="12" t="s">
        <v>44</v>
      </c>
      <c r="D2314" s="12" t="s">
        <v>45</v>
      </c>
      <c r="E2314" s="12" t="s">
        <v>46</v>
      </c>
      <c r="F2314" s="12" t="s">
        <v>47</v>
      </c>
    </row>
    <row r="2315" spans="1:6" ht="22.5" x14ac:dyDescent="0.25">
      <c r="A2315" s="8">
        <v>86111604</v>
      </c>
      <c r="B2315" s="9" t="s">
        <v>147</v>
      </c>
      <c r="C2315" s="33" t="s">
        <v>55</v>
      </c>
      <c r="D2315" s="8">
        <v>1</v>
      </c>
      <c r="E2315" s="11">
        <v>1700000</v>
      </c>
      <c r="F2315" s="10">
        <v>1700000</v>
      </c>
    </row>
    <row r="2316" spans="1:6" x14ac:dyDescent="0.25">
      <c r="A2316" s="2"/>
      <c r="B2316" s="2"/>
      <c r="C2316" s="2"/>
      <c r="D2316" s="2"/>
      <c r="E2316" s="13" t="s">
        <v>87</v>
      </c>
      <c r="F2316" s="14">
        <v>1700000</v>
      </c>
    </row>
    <row r="2317" spans="1:6" ht="15.75" thickBot="1" x14ac:dyDescent="0.3"/>
    <row r="2318" spans="1:6" ht="23.25" thickBot="1" x14ac:dyDescent="0.3">
      <c r="A2318" s="4" t="s">
        <v>19</v>
      </c>
      <c r="B2318" s="4" t="s">
        <v>20</v>
      </c>
      <c r="C2318" s="4" t="s">
        <v>21</v>
      </c>
      <c r="D2318" s="4" t="s">
        <v>22</v>
      </c>
      <c r="E2318" s="4" t="s">
        <v>23</v>
      </c>
      <c r="F2318" s="4" t="s">
        <v>24</v>
      </c>
    </row>
    <row r="2319" spans="1:6" ht="15.75" thickBot="1" x14ac:dyDescent="0.3">
      <c r="A2319" s="32" t="s">
        <v>214</v>
      </c>
      <c r="B2319" s="32" t="s">
        <v>215</v>
      </c>
      <c r="C2319" s="32" t="s">
        <v>129</v>
      </c>
      <c r="D2319" s="6" t="s">
        <v>140</v>
      </c>
      <c r="E2319" s="32" t="s">
        <v>29</v>
      </c>
      <c r="F2319" s="6"/>
    </row>
    <row r="2320" spans="1:6" ht="15.75" thickBot="1" x14ac:dyDescent="0.3">
      <c r="A2320" s="35" t="s">
        <v>31</v>
      </c>
      <c r="B2320" s="7" t="s">
        <v>32</v>
      </c>
      <c r="C2320" s="15">
        <v>45383</v>
      </c>
      <c r="D2320" s="35" t="s">
        <v>33</v>
      </c>
      <c r="E2320" s="7" t="s">
        <v>34</v>
      </c>
      <c r="F2320" s="6"/>
    </row>
    <row r="2321" spans="1:6" ht="15.75" thickBot="1" x14ac:dyDescent="0.3">
      <c r="A2321" s="36"/>
      <c r="B2321" s="7" t="s">
        <v>36</v>
      </c>
      <c r="C2321" s="5">
        <f>IF(C2320="","",IF(AND(MONTH(C2320)&gt;=1,MONTH(C2320)&lt;=3),1,IF(AND(MONTH(C2320)&gt;=4,MONTH(C2320)&lt;=6),2,IF(AND(MONTH(C2320)&gt;=7,MONTH(C2320)&lt;=9),3,4))))</f>
        <v>2</v>
      </c>
      <c r="D2321" s="36"/>
      <c r="E2321" s="7" t="s">
        <v>37</v>
      </c>
      <c r="F2321" s="6"/>
    </row>
    <row r="2322" spans="1:6" ht="15.75" thickBot="1" x14ac:dyDescent="0.3">
      <c r="A2322" s="36"/>
      <c r="B2322" s="7" t="s">
        <v>39</v>
      </c>
      <c r="C2322" s="15">
        <v>45473</v>
      </c>
      <c r="D2322" s="36"/>
      <c r="E2322" s="7" t="s">
        <v>40</v>
      </c>
      <c r="F2322" s="6"/>
    </row>
    <row r="2323" spans="1:6" ht="15.75" thickBot="1" x14ac:dyDescent="0.3">
      <c r="A2323" s="36"/>
      <c r="B2323" s="7" t="s">
        <v>36</v>
      </c>
      <c r="C2323" s="5">
        <f>IF(C2322="","",IF(AND(MONTH(C2322)&gt;=1,MONTH(C2322)&lt;=3),1,IF(AND(MONTH(C2322)&gt;=4,MONTH(C2322)&lt;=6),2,IF(AND(MONTH(C2322)&gt;=7,MONTH(C2322)&lt;=9),3,4))))</f>
        <v>2</v>
      </c>
      <c r="D2323" s="36"/>
      <c r="E2323" s="7" t="s">
        <v>41</v>
      </c>
      <c r="F2323" s="6"/>
    </row>
    <row r="2324" spans="1:6" ht="15.75" thickBot="1" x14ac:dyDescent="0.3">
      <c r="A2324" s="40"/>
      <c r="B2324" s="40"/>
      <c r="C2324" s="40"/>
      <c r="D2324" s="40"/>
      <c r="E2324" s="40"/>
      <c r="F2324" s="40"/>
    </row>
    <row r="2325" spans="1:6" ht="15.75" thickBot="1" x14ac:dyDescent="0.3">
      <c r="A2325" s="12" t="s">
        <v>42</v>
      </c>
      <c r="B2325" s="12" t="s">
        <v>43</v>
      </c>
      <c r="C2325" s="12" t="s">
        <v>44</v>
      </c>
      <c r="D2325" s="12" t="s">
        <v>45</v>
      </c>
      <c r="E2325" s="12" t="s">
        <v>46</v>
      </c>
      <c r="F2325" s="12" t="s">
        <v>47</v>
      </c>
    </row>
    <row r="2326" spans="1:6" x14ac:dyDescent="0.25">
      <c r="A2326" s="8">
        <v>78111808</v>
      </c>
      <c r="B2326" s="9" t="str">
        <f ca="1">IFERROR(INDEX(UNSPSCDes,MATCH(INDIRECT(ADDRESS(ROW(),COLUMN()-1,4)),UNSPSCCode,0)),"")</f>
        <v>Alquiler de vehículos</v>
      </c>
      <c r="C2326" s="33" t="s">
        <v>55</v>
      </c>
      <c r="D2326" s="8">
        <v>40</v>
      </c>
      <c r="E2326" s="11">
        <v>16800</v>
      </c>
      <c r="F2326" s="10">
        <f ca="1">INDIRECT(ADDRESS(ROW(),COLUMN()-2,4))*INDIRECT(ADDRESS(ROW(),COLUMN()-1,4))</f>
        <v>672000</v>
      </c>
    </row>
    <row r="2327" spans="1:6" x14ac:dyDescent="0.25">
      <c r="A2327" s="8">
        <v>78111803</v>
      </c>
      <c r="B2327" s="9" t="str">
        <f ca="1">IFERROR(INDEX(UNSPSCDes,MATCH(INDIRECT(ADDRESS(ROW(),COLUMN()-1,4)),UNSPSCCode,0)),"")</f>
        <v>Servicios de buses contratados</v>
      </c>
      <c r="C2327" s="33" t="s">
        <v>55</v>
      </c>
      <c r="D2327" s="8">
        <v>150</v>
      </c>
      <c r="E2327" s="11">
        <v>30000</v>
      </c>
      <c r="F2327" s="10">
        <f ca="1">INDIRECT(ADDRESS(ROW(),COLUMN()-2,4))*INDIRECT(ADDRESS(ROW(),COLUMN()-1,4))</f>
        <v>4500000</v>
      </c>
    </row>
    <row r="2328" spans="1:6" ht="22.5" x14ac:dyDescent="0.25">
      <c r="A2328" s="41">
        <v>78101802</v>
      </c>
      <c r="B2328" s="9" t="str">
        <f ca="1">IFERROR(INDEX(UNSPSCDes,MATCH(INDIRECT(ADDRESS(ROW(),COLUMN()-1,4)),UNSPSCCode,0)),"")</f>
        <v>Servicios transporte de carga por carretera (en camión) a nivel regional y nacional</v>
      </c>
      <c r="C2328" s="33" t="s">
        <v>55</v>
      </c>
      <c r="D2328" s="8">
        <v>60</v>
      </c>
      <c r="E2328" s="11">
        <v>35000</v>
      </c>
      <c r="F2328" s="10">
        <f ca="1">INDIRECT(ADDRESS(ROW(),COLUMN()-2,4))*INDIRECT(ADDRESS(ROW(),COLUMN()-1,4))</f>
        <v>2100000</v>
      </c>
    </row>
    <row r="2329" spans="1:6" x14ac:dyDescent="0.25">
      <c r="A2329" s="40"/>
      <c r="B2329" s="40"/>
      <c r="C2329" s="40"/>
      <c r="D2329" s="40"/>
      <c r="E2329" s="13" t="s">
        <v>87</v>
      </c>
      <c r="F2329" s="14">
        <f ca="1">SUM(Table348[MONTO TOTAL ESTIMADO])</f>
        <v>7272000</v>
      </c>
    </row>
    <row r="2330" spans="1:6" ht="15.75" thickBot="1" x14ac:dyDescent="0.3">
      <c r="A2330" s="42"/>
      <c r="B2330" s="42"/>
      <c r="C2330" s="42"/>
      <c r="D2330" s="42"/>
      <c r="E2330" s="42"/>
      <c r="F2330" s="42"/>
    </row>
    <row r="2331" spans="1:6" ht="23.25" thickBot="1" x14ac:dyDescent="0.3">
      <c r="A2331" s="4" t="s">
        <v>19</v>
      </c>
      <c r="B2331" s="4" t="s">
        <v>20</v>
      </c>
      <c r="C2331" s="4" t="s">
        <v>21</v>
      </c>
      <c r="D2331" s="4" t="s">
        <v>22</v>
      </c>
      <c r="E2331" s="4" t="s">
        <v>23</v>
      </c>
      <c r="F2331" s="4" t="s">
        <v>24</v>
      </c>
    </row>
    <row r="2332" spans="1:6" ht="15.75" thickBot="1" x14ac:dyDescent="0.3">
      <c r="A2332" s="32" t="s">
        <v>219</v>
      </c>
      <c r="B2332" s="32" t="s">
        <v>220</v>
      </c>
      <c r="C2332" s="32" t="s">
        <v>129</v>
      </c>
      <c r="D2332" s="6" t="s">
        <v>140</v>
      </c>
      <c r="E2332" s="32" t="s">
        <v>29</v>
      </c>
      <c r="F2332" s="6"/>
    </row>
    <row r="2333" spans="1:6" ht="15.75" thickBot="1" x14ac:dyDescent="0.3">
      <c r="A2333" s="35" t="s">
        <v>31</v>
      </c>
      <c r="B2333" s="7" t="s">
        <v>32</v>
      </c>
      <c r="C2333" s="15">
        <v>45383</v>
      </c>
      <c r="D2333" s="35" t="s">
        <v>33</v>
      </c>
      <c r="E2333" s="7" t="s">
        <v>34</v>
      </c>
      <c r="F2333" s="6"/>
    </row>
    <row r="2334" spans="1:6" ht="15.75" thickBot="1" x14ac:dyDescent="0.3">
      <c r="A2334" s="36"/>
      <c r="B2334" s="7" t="s">
        <v>36</v>
      </c>
      <c r="C2334" s="5">
        <f>IF(C2333="","",IF(AND(MONTH(C2333)&gt;=1,MONTH(C2333)&lt;=3),1,IF(AND(MONTH(C2333)&gt;=4,MONTH(C2333)&lt;=6),2,IF(AND(MONTH(C2333)&gt;=7,MONTH(C2333)&lt;=9),3,4))))</f>
        <v>2</v>
      </c>
      <c r="D2334" s="36"/>
      <c r="E2334" s="7" t="s">
        <v>37</v>
      </c>
      <c r="F2334" s="6"/>
    </row>
    <row r="2335" spans="1:6" ht="15.75" thickBot="1" x14ac:dyDescent="0.3">
      <c r="A2335" s="36"/>
      <c r="B2335" s="7" t="s">
        <v>39</v>
      </c>
      <c r="C2335" s="15">
        <v>45473</v>
      </c>
      <c r="D2335" s="36"/>
      <c r="E2335" s="7" t="s">
        <v>40</v>
      </c>
      <c r="F2335" s="6"/>
    </row>
    <row r="2336" spans="1:6" ht="15.75" thickBot="1" x14ac:dyDescent="0.3">
      <c r="A2336" s="36"/>
      <c r="B2336" s="7" t="s">
        <v>36</v>
      </c>
      <c r="C2336" s="5">
        <f>IF(C2335="","",IF(AND(MONTH(C2335)&gt;=1,MONTH(C2335)&lt;=3),1,IF(AND(MONTH(C2335)&gt;=4,MONTH(C2335)&lt;=6),2,IF(AND(MONTH(C2335)&gt;=7,MONTH(C2335)&lt;=9),3,4))))</f>
        <v>2</v>
      </c>
      <c r="D2336" s="36"/>
      <c r="E2336" s="7" t="s">
        <v>41</v>
      </c>
      <c r="F2336" s="6"/>
    </row>
    <row r="2337" spans="1:6" ht="15.75" thickBot="1" x14ac:dyDescent="0.3">
      <c r="A2337" s="40"/>
      <c r="B2337" s="40"/>
      <c r="C2337" s="40"/>
      <c r="D2337" s="40"/>
      <c r="E2337" s="40"/>
      <c r="F2337" s="40"/>
    </row>
    <row r="2338" spans="1:6" ht="15.75" thickBot="1" x14ac:dyDescent="0.3">
      <c r="A2338" s="12" t="s">
        <v>42</v>
      </c>
      <c r="B2338" s="12" t="s">
        <v>43</v>
      </c>
      <c r="C2338" s="12" t="s">
        <v>44</v>
      </c>
      <c r="D2338" s="12" t="s">
        <v>45</v>
      </c>
      <c r="E2338" s="12" t="s">
        <v>46</v>
      </c>
      <c r="F2338" s="12" t="s">
        <v>47</v>
      </c>
    </row>
    <row r="2339" spans="1:6" x14ac:dyDescent="0.25">
      <c r="A2339" s="8">
        <v>80141607</v>
      </c>
      <c r="B2339" s="9" t="str">
        <f ca="1">IFERROR(INDEX(UNSPSCDes,MATCH(INDIRECT(ADDRESS(ROW(),COLUMN()-1,4)),UNSPSCCode,0)),"")</f>
        <v>Gestión de eventos</v>
      </c>
      <c r="C2339" s="8" t="s">
        <v>55</v>
      </c>
      <c r="D2339" s="8">
        <v>1</v>
      </c>
      <c r="E2339" s="11">
        <v>30000000</v>
      </c>
      <c r="F2339" s="10">
        <f ca="1">INDIRECT(ADDRESS(ROW(),COLUMN()-2,4))*INDIRECT(ADDRESS(ROW(),COLUMN()-1,4))</f>
        <v>30000000</v>
      </c>
    </row>
    <row r="2340" spans="1:6" x14ac:dyDescent="0.25">
      <c r="A2340" s="8">
        <v>80141607</v>
      </c>
      <c r="B2340" s="9" t="str">
        <f ca="1">IFERROR(INDEX(UNSPSCDes,MATCH(INDIRECT(ADDRESS(ROW(),COLUMN()-1,4)),UNSPSCCode,0)),"")</f>
        <v>Gestión de eventos</v>
      </c>
      <c r="C2340" s="33" t="s">
        <v>55</v>
      </c>
      <c r="D2340" s="8">
        <v>1</v>
      </c>
      <c r="E2340" s="11">
        <v>30000000</v>
      </c>
      <c r="F2340" s="10">
        <f ca="1">INDIRECT(ADDRESS(ROW(),COLUMN()-2,4))*INDIRECT(ADDRESS(ROW(),COLUMN()-1,4))</f>
        <v>30000000</v>
      </c>
    </row>
    <row r="2341" spans="1:6" x14ac:dyDescent="0.25">
      <c r="A2341" s="40"/>
      <c r="B2341" s="40"/>
      <c r="C2341" s="40"/>
      <c r="D2341" s="40"/>
      <c r="E2341" s="13" t="s">
        <v>87</v>
      </c>
      <c r="F2341" s="14">
        <f ca="1">SUM(Table349[MONTO TOTAL ESTIMADO])</f>
        <v>60000000</v>
      </c>
    </row>
    <row r="2342" spans="1:6" ht="15.75" thickBot="1" x14ac:dyDescent="0.3">
      <c r="A2342" s="42"/>
      <c r="B2342" s="42"/>
      <c r="C2342" s="42"/>
      <c r="D2342" s="42"/>
      <c r="E2342" s="42"/>
      <c r="F2342" s="42"/>
    </row>
    <row r="2343" spans="1:6" ht="23.25" thickBot="1" x14ac:dyDescent="0.3">
      <c r="A2343" s="4" t="s">
        <v>19</v>
      </c>
      <c r="B2343" s="4" t="s">
        <v>20</v>
      </c>
      <c r="C2343" s="4" t="s">
        <v>21</v>
      </c>
      <c r="D2343" s="4" t="s">
        <v>22</v>
      </c>
      <c r="E2343" s="4" t="s">
        <v>23</v>
      </c>
      <c r="F2343" s="4" t="s">
        <v>24</v>
      </c>
    </row>
    <row r="2344" spans="1:6" ht="15.75" thickBot="1" x14ac:dyDescent="0.3">
      <c r="A2344" s="32" t="s">
        <v>221</v>
      </c>
      <c r="B2344" s="32" t="s">
        <v>222</v>
      </c>
      <c r="C2344" s="6" t="s">
        <v>129</v>
      </c>
      <c r="D2344" s="6" t="s">
        <v>140</v>
      </c>
      <c r="E2344" s="32" t="s">
        <v>29</v>
      </c>
      <c r="F2344" s="6"/>
    </row>
    <row r="2345" spans="1:6" ht="15.75" thickBot="1" x14ac:dyDescent="0.3">
      <c r="A2345" s="35" t="s">
        <v>31</v>
      </c>
      <c r="B2345" s="7" t="s">
        <v>32</v>
      </c>
      <c r="C2345" s="15">
        <v>45383</v>
      </c>
      <c r="D2345" s="35" t="s">
        <v>33</v>
      </c>
      <c r="E2345" s="7" t="s">
        <v>34</v>
      </c>
      <c r="F2345" s="6"/>
    </row>
    <row r="2346" spans="1:6" ht="15.75" thickBot="1" x14ac:dyDescent="0.3">
      <c r="A2346" s="36"/>
      <c r="B2346" s="7" t="s">
        <v>36</v>
      </c>
      <c r="C2346" s="5">
        <f>IF(C2345="","",IF(AND(MONTH(C2345)&gt;=1,MONTH(C2345)&lt;=3),1,IF(AND(MONTH(C2345)&gt;=4,MONTH(C2345)&lt;=6),2,IF(AND(MONTH(C2345)&gt;=7,MONTH(C2345)&lt;=9),3,4))))</f>
        <v>2</v>
      </c>
      <c r="D2346" s="36"/>
      <c r="E2346" s="7" t="s">
        <v>37</v>
      </c>
      <c r="F2346" s="6"/>
    </row>
    <row r="2347" spans="1:6" ht="15.75" thickBot="1" x14ac:dyDescent="0.3">
      <c r="A2347" s="36"/>
      <c r="B2347" s="7" t="s">
        <v>39</v>
      </c>
      <c r="C2347" s="15">
        <v>45473</v>
      </c>
      <c r="D2347" s="36"/>
      <c r="E2347" s="7" t="s">
        <v>40</v>
      </c>
      <c r="F2347" s="6"/>
    </row>
    <row r="2348" spans="1:6" ht="15.75" thickBot="1" x14ac:dyDescent="0.3">
      <c r="A2348" s="36"/>
      <c r="B2348" s="7" t="s">
        <v>36</v>
      </c>
      <c r="C2348" s="5">
        <f>IF(C2347="","",IF(AND(MONTH(C2347)&gt;=1,MONTH(C2347)&lt;=3),1,IF(AND(MONTH(C2347)&gt;=4,MONTH(C2347)&lt;=6),2,IF(AND(MONTH(C2347)&gt;=7,MONTH(C2347)&lt;=9),3,4))))</f>
        <v>2</v>
      </c>
      <c r="D2348" s="36"/>
      <c r="E2348" s="7" t="s">
        <v>41</v>
      </c>
      <c r="F2348" s="6"/>
    </row>
    <row r="2349" spans="1:6" ht="15.75" thickBot="1" x14ac:dyDescent="0.3">
      <c r="A2349" s="40"/>
      <c r="B2349" s="40"/>
      <c r="C2349" s="40"/>
      <c r="D2349" s="40"/>
      <c r="E2349" s="40"/>
      <c r="F2349" s="40"/>
    </row>
    <row r="2350" spans="1:6" ht="15.75" thickBot="1" x14ac:dyDescent="0.3">
      <c r="A2350" s="12" t="s">
        <v>42</v>
      </c>
      <c r="B2350" s="12" t="s">
        <v>43</v>
      </c>
      <c r="C2350" s="12" t="s">
        <v>44</v>
      </c>
      <c r="D2350" s="12" t="s">
        <v>45</v>
      </c>
      <c r="E2350" s="12" t="s">
        <v>46</v>
      </c>
      <c r="F2350" s="12" t="s">
        <v>47</v>
      </c>
    </row>
    <row r="2351" spans="1:6" x14ac:dyDescent="0.25">
      <c r="A2351" s="8">
        <v>90101802</v>
      </c>
      <c r="B2351" s="9" t="str">
        <f ca="1">IFERROR(INDEX(UNSPSCDes,MATCH(INDIRECT(ADDRESS(ROW(),COLUMN()-1,4)),UNSPSCCode,0)),"")</f>
        <v>Servicios de comidas a domicilio</v>
      </c>
      <c r="C2351" s="8" t="s">
        <v>55</v>
      </c>
      <c r="D2351" s="8">
        <v>10</v>
      </c>
      <c r="E2351" s="11">
        <v>44999900</v>
      </c>
      <c r="F2351" s="10">
        <f ca="1">INDIRECT(ADDRESS(ROW(),COLUMN()-2,4))*INDIRECT(ADDRESS(ROW(),COLUMN()-1,4))</f>
        <v>449999000</v>
      </c>
    </row>
    <row r="2352" spans="1:6" x14ac:dyDescent="0.25">
      <c r="A2352" s="40"/>
      <c r="B2352" s="40"/>
      <c r="C2352" s="40"/>
      <c r="D2352" s="40"/>
      <c r="E2352" s="13" t="s">
        <v>87</v>
      </c>
      <c r="F2352" s="14">
        <f ca="1">SUM(Table350[MONTO TOTAL ESTIMADO])</f>
        <v>449999000</v>
      </c>
    </row>
    <row r="2353" spans="1:6" ht="15.75" thickBot="1" x14ac:dyDescent="0.3">
      <c r="A2353" s="42"/>
      <c r="B2353" s="42"/>
      <c r="C2353" s="42"/>
      <c r="D2353" s="42"/>
      <c r="E2353" s="42"/>
      <c r="F2353" s="42"/>
    </row>
    <row r="2354" spans="1:6" ht="23.25" thickBot="1" x14ac:dyDescent="0.3">
      <c r="A2354" s="4" t="s">
        <v>19</v>
      </c>
      <c r="B2354" s="4" t="s">
        <v>20</v>
      </c>
      <c r="C2354" s="4" t="s">
        <v>21</v>
      </c>
      <c r="D2354" s="4" t="s">
        <v>22</v>
      </c>
      <c r="E2354" s="4" t="s">
        <v>23</v>
      </c>
      <c r="F2354" s="4" t="s">
        <v>24</v>
      </c>
    </row>
    <row r="2355" spans="1:6" ht="15.75" thickBot="1" x14ac:dyDescent="0.3">
      <c r="A2355" s="32" t="s">
        <v>224</v>
      </c>
      <c r="B2355" s="32" t="s">
        <v>225</v>
      </c>
      <c r="C2355" s="6" t="s">
        <v>27</v>
      </c>
      <c r="D2355" s="6" t="s">
        <v>140</v>
      </c>
      <c r="E2355" s="32" t="s">
        <v>29</v>
      </c>
      <c r="F2355" s="6"/>
    </row>
    <row r="2356" spans="1:6" ht="15.75" thickBot="1" x14ac:dyDescent="0.3">
      <c r="A2356" s="35" t="s">
        <v>31</v>
      </c>
      <c r="B2356" s="7" t="s">
        <v>32</v>
      </c>
      <c r="C2356" s="15">
        <v>45383</v>
      </c>
      <c r="D2356" s="35" t="s">
        <v>33</v>
      </c>
      <c r="E2356" s="7" t="s">
        <v>34</v>
      </c>
      <c r="F2356" s="6"/>
    </row>
    <row r="2357" spans="1:6" ht="15.75" thickBot="1" x14ac:dyDescent="0.3">
      <c r="A2357" s="36"/>
      <c r="B2357" s="7" t="s">
        <v>36</v>
      </c>
      <c r="C2357" s="5">
        <f>IF(C2356="","",IF(AND(MONTH(C2356)&gt;=1,MONTH(C2356)&lt;=3),1,IF(AND(MONTH(C2356)&gt;=4,MONTH(C2356)&lt;=6),2,IF(AND(MONTH(C2356)&gt;=7,MONTH(C2356)&lt;=9),3,4))))</f>
        <v>2</v>
      </c>
      <c r="D2357" s="36"/>
      <c r="E2357" s="7" t="s">
        <v>37</v>
      </c>
      <c r="F2357" s="6"/>
    </row>
    <row r="2358" spans="1:6" ht="15.75" thickBot="1" x14ac:dyDescent="0.3">
      <c r="A2358" s="36"/>
      <c r="B2358" s="7" t="s">
        <v>39</v>
      </c>
      <c r="C2358" s="15">
        <v>45473</v>
      </c>
      <c r="D2358" s="36"/>
      <c r="E2358" s="7" t="s">
        <v>40</v>
      </c>
      <c r="F2358" s="6"/>
    </row>
    <row r="2359" spans="1:6" ht="15.75" thickBot="1" x14ac:dyDescent="0.3">
      <c r="A2359" s="36"/>
      <c r="B2359" s="7" t="s">
        <v>36</v>
      </c>
      <c r="C2359" s="5">
        <f>IF(C2358="","",IF(AND(MONTH(C2358)&gt;=1,MONTH(C2358)&lt;=3),1,IF(AND(MONTH(C2358)&gt;=4,MONTH(C2358)&lt;=6),2,IF(AND(MONTH(C2358)&gt;=7,MONTH(C2358)&lt;=9),3,4))))</f>
        <v>2</v>
      </c>
      <c r="D2359" s="36"/>
      <c r="E2359" s="7" t="s">
        <v>41</v>
      </c>
      <c r="F2359" s="6"/>
    </row>
    <row r="2360" spans="1:6" ht="15.75" thickBot="1" x14ac:dyDescent="0.3">
      <c r="A2360" s="40"/>
      <c r="B2360" s="40"/>
      <c r="C2360" s="40"/>
      <c r="D2360" s="40"/>
      <c r="E2360" s="40"/>
      <c r="F2360" s="40"/>
    </row>
    <row r="2361" spans="1:6" ht="15.75" thickBot="1" x14ac:dyDescent="0.3">
      <c r="A2361" s="12" t="s">
        <v>42</v>
      </c>
      <c r="B2361" s="12" t="s">
        <v>43</v>
      </c>
      <c r="C2361" s="12" t="s">
        <v>44</v>
      </c>
      <c r="D2361" s="12" t="s">
        <v>45</v>
      </c>
      <c r="E2361" s="12" t="s">
        <v>46</v>
      </c>
      <c r="F2361" s="12" t="s">
        <v>47</v>
      </c>
    </row>
    <row r="2362" spans="1:6" x14ac:dyDescent="0.25">
      <c r="A2362" s="41">
        <v>44121701</v>
      </c>
      <c r="B2362" s="9" t="str">
        <f t="shared" ref="B2362:B2393" ca="1" si="0">IFERROR(INDEX(UNSPSCDes,MATCH(INDIRECT(ADDRESS(ROW(),COLUMN()-1,4)),UNSPSCCode,0)),"")</f>
        <v>Bolígrafos</v>
      </c>
      <c r="C2362" s="8" t="s">
        <v>55</v>
      </c>
      <c r="D2362" s="8">
        <v>18000</v>
      </c>
      <c r="E2362" s="11">
        <v>9.44</v>
      </c>
      <c r="F2362" s="10">
        <f t="shared" ref="F2362:F2420" ca="1" si="1">INDIRECT(ADDRESS(ROW(),COLUMN()-2,4))*INDIRECT(ADDRESS(ROW(),COLUMN()-1,4))</f>
        <v>169920</v>
      </c>
    </row>
    <row r="2363" spans="1:6" x14ac:dyDescent="0.25">
      <c r="A2363" s="41">
        <v>44121703</v>
      </c>
      <c r="B2363" s="9" t="str">
        <f t="shared" ca="1" si="0"/>
        <v>Estilógrafos</v>
      </c>
      <c r="C2363" s="33" t="s">
        <v>55</v>
      </c>
      <c r="D2363" s="8">
        <v>3600</v>
      </c>
      <c r="E2363" s="11">
        <v>22.22</v>
      </c>
      <c r="F2363" s="10">
        <f t="shared" ca="1" si="1"/>
        <v>79992</v>
      </c>
    </row>
    <row r="2364" spans="1:6" x14ac:dyDescent="0.25">
      <c r="A2364" s="41">
        <v>44121706</v>
      </c>
      <c r="B2364" s="9" t="str">
        <f t="shared" ca="1" si="0"/>
        <v>Lápices de madera</v>
      </c>
      <c r="C2364" s="33" t="s">
        <v>55</v>
      </c>
      <c r="D2364" s="8">
        <v>4800</v>
      </c>
      <c r="E2364" s="11">
        <v>16.75</v>
      </c>
      <c r="F2364" s="10">
        <f t="shared" ca="1" si="1"/>
        <v>80400</v>
      </c>
    </row>
    <row r="2365" spans="1:6" x14ac:dyDescent="0.25">
      <c r="A2365" s="41">
        <v>44121708</v>
      </c>
      <c r="B2365" s="9" t="str">
        <f t="shared" ca="1" si="0"/>
        <v>Marcadores</v>
      </c>
      <c r="C2365" s="33" t="s">
        <v>55</v>
      </c>
      <c r="D2365" s="8">
        <v>1050</v>
      </c>
      <c r="E2365" s="11">
        <v>152.38</v>
      </c>
      <c r="F2365" s="10">
        <f t="shared" ca="1" si="1"/>
        <v>159999</v>
      </c>
    </row>
    <row r="2366" spans="1:6" x14ac:dyDescent="0.25">
      <c r="A2366" s="41">
        <v>44121716</v>
      </c>
      <c r="B2366" s="9" t="str">
        <f t="shared" ca="1" si="0"/>
        <v>Resaltadores</v>
      </c>
      <c r="C2366" s="33" t="s">
        <v>55</v>
      </c>
      <c r="D2366" s="8">
        <v>3000</v>
      </c>
      <c r="E2366" s="11">
        <v>23.33</v>
      </c>
      <c r="F2366" s="10">
        <f t="shared" ca="1" si="1"/>
        <v>69990</v>
      </c>
    </row>
    <row r="2367" spans="1:6" x14ac:dyDescent="0.25">
      <c r="A2367" s="41">
        <v>44121708</v>
      </c>
      <c r="B2367" s="9" t="str">
        <f t="shared" ca="1" si="0"/>
        <v>Marcadores</v>
      </c>
      <c r="C2367" s="33" t="s">
        <v>55</v>
      </c>
      <c r="D2367" s="8">
        <v>4500</v>
      </c>
      <c r="E2367" s="11">
        <v>35.56</v>
      </c>
      <c r="F2367" s="10">
        <f t="shared" ca="1" si="1"/>
        <v>160020</v>
      </c>
    </row>
    <row r="2368" spans="1:6" x14ac:dyDescent="0.25">
      <c r="A2368" s="41">
        <v>44121804</v>
      </c>
      <c r="B2368" s="9" t="str">
        <f t="shared" ca="1" si="0"/>
        <v>Borradores</v>
      </c>
      <c r="C2368" s="33" t="s">
        <v>55</v>
      </c>
      <c r="D2368" s="8">
        <v>1000</v>
      </c>
      <c r="E2368" s="11">
        <v>22</v>
      </c>
      <c r="F2368" s="10">
        <f t="shared" ca="1" si="1"/>
        <v>22000</v>
      </c>
    </row>
    <row r="2369" spans="1:6" x14ac:dyDescent="0.25">
      <c r="A2369" s="41">
        <v>44121628</v>
      </c>
      <c r="B2369" s="9" t="str">
        <f t="shared" ca="1" si="0"/>
        <v>Contenedores o dispensadores de clips</v>
      </c>
      <c r="C2369" s="33" t="s">
        <v>55</v>
      </c>
      <c r="D2369" s="8">
        <v>750</v>
      </c>
      <c r="E2369" s="11">
        <v>73.33</v>
      </c>
      <c r="F2369" s="10">
        <f t="shared" ca="1" si="1"/>
        <v>54997.5</v>
      </c>
    </row>
    <row r="2370" spans="1:6" x14ac:dyDescent="0.25">
      <c r="A2370" s="41">
        <v>44122104</v>
      </c>
      <c r="B2370" s="9" t="str">
        <f t="shared" ca="1" si="0"/>
        <v>Clips para papel</v>
      </c>
      <c r="C2370" s="8" t="s">
        <v>49</v>
      </c>
      <c r="D2370" s="8">
        <v>3000</v>
      </c>
      <c r="E2370" s="11">
        <v>96</v>
      </c>
      <c r="F2370" s="10">
        <f t="shared" ca="1" si="1"/>
        <v>288000</v>
      </c>
    </row>
    <row r="2371" spans="1:6" x14ac:dyDescent="0.25">
      <c r="A2371" s="41">
        <v>44122104</v>
      </c>
      <c r="B2371" s="9" t="str">
        <f t="shared" ca="1" si="0"/>
        <v>Clips para papel</v>
      </c>
      <c r="C2371" s="33" t="s">
        <v>49</v>
      </c>
      <c r="D2371" s="8">
        <v>3000</v>
      </c>
      <c r="E2371" s="11">
        <v>104</v>
      </c>
      <c r="F2371" s="10">
        <f t="shared" ca="1" si="1"/>
        <v>312000</v>
      </c>
    </row>
    <row r="2372" spans="1:6" x14ac:dyDescent="0.25">
      <c r="A2372" s="41">
        <v>44122105</v>
      </c>
      <c r="B2372" s="9" t="str">
        <f t="shared" ca="1" si="0"/>
        <v>Clips para carpetas o bulldog</v>
      </c>
      <c r="C2372" s="33" t="s">
        <v>49</v>
      </c>
      <c r="D2372" s="8">
        <v>750</v>
      </c>
      <c r="E2372" s="11">
        <v>466.67</v>
      </c>
      <c r="F2372" s="10">
        <f t="shared" ca="1" si="1"/>
        <v>350002.5</v>
      </c>
    </row>
    <row r="2373" spans="1:6" x14ac:dyDescent="0.25">
      <c r="A2373" s="41">
        <v>44122105</v>
      </c>
      <c r="B2373" s="9" t="str">
        <f t="shared" ca="1" si="0"/>
        <v>Clips para carpetas o bulldog</v>
      </c>
      <c r="C2373" s="33" t="s">
        <v>49</v>
      </c>
      <c r="D2373" s="8">
        <v>2000</v>
      </c>
      <c r="E2373" s="11">
        <v>175</v>
      </c>
      <c r="F2373" s="10">
        <f t="shared" ca="1" si="1"/>
        <v>350000</v>
      </c>
    </row>
    <row r="2374" spans="1:6" x14ac:dyDescent="0.25">
      <c r="A2374" s="41">
        <v>44122105</v>
      </c>
      <c r="B2374" s="9" t="str">
        <f t="shared" ca="1" si="0"/>
        <v>Clips para carpetas o bulldog</v>
      </c>
      <c r="C2374" s="33" t="s">
        <v>49</v>
      </c>
      <c r="D2374" s="8">
        <v>3500</v>
      </c>
      <c r="E2374" s="11">
        <v>102.85</v>
      </c>
      <c r="F2374" s="10">
        <f t="shared" ca="1" si="1"/>
        <v>359975</v>
      </c>
    </row>
    <row r="2375" spans="1:6" x14ac:dyDescent="0.25">
      <c r="A2375" s="41">
        <v>31201610</v>
      </c>
      <c r="B2375" s="9" t="str">
        <f t="shared" ca="1" si="0"/>
        <v>Pegamentos</v>
      </c>
      <c r="C2375" s="33" t="s">
        <v>55</v>
      </c>
      <c r="D2375" s="8">
        <v>100</v>
      </c>
      <c r="E2375" s="11">
        <v>700</v>
      </c>
      <c r="F2375" s="10">
        <f t="shared" ca="1" si="1"/>
        <v>70000</v>
      </c>
    </row>
    <row r="2376" spans="1:6" x14ac:dyDescent="0.25">
      <c r="A2376" s="41">
        <v>31201610</v>
      </c>
      <c r="B2376" s="9" t="str">
        <f t="shared" ca="1" si="0"/>
        <v>Pegamentos</v>
      </c>
      <c r="C2376" s="33" t="s">
        <v>55</v>
      </c>
      <c r="D2376" s="8">
        <v>100</v>
      </c>
      <c r="E2376" s="11">
        <v>550</v>
      </c>
      <c r="F2376" s="10">
        <f t="shared" ca="1" si="1"/>
        <v>55000</v>
      </c>
    </row>
    <row r="2377" spans="1:6" x14ac:dyDescent="0.25">
      <c r="A2377" s="41">
        <v>14111530</v>
      </c>
      <c r="B2377" s="9" t="str">
        <f t="shared" ca="1" si="0"/>
        <v>Papel de notas autoadhesivas</v>
      </c>
      <c r="C2377" s="33" t="s">
        <v>55</v>
      </c>
      <c r="D2377" s="8">
        <v>2500</v>
      </c>
      <c r="E2377" s="11">
        <v>96</v>
      </c>
      <c r="F2377" s="10">
        <f t="shared" ca="1" si="1"/>
        <v>240000</v>
      </c>
    </row>
    <row r="2378" spans="1:6" x14ac:dyDescent="0.25">
      <c r="A2378" s="41">
        <v>14111530</v>
      </c>
      <c r="B2378" s="9" t="str">
        <f t="shared" ca="1" si="0"/>
        <v>Papel de notas autoadhesivas</v>
      </c>
      <c r="C2378" s="33" t="s">
        <v>55</v>
      </c>
      <c r="D2378" s="8">
        <v>3000</v>
      </c>
      <c r="E2378" s="11">
        <v>80</v>
      </c>
      <c r="F2378" s="10">
        <f t="shared" ca="1" si="1"/>
        <v>240000</v>
      </c>
    </row>
    <row r="2379" spans="1:6" x14ac:dyDescent="0.25">
      <c r="A2379" s="41">
        <v>14111530</v>
      </c>
      <c r="B2379" s="9" t="str">
        <f t="shared" ca="1" si="0"/>
        <v>Papel de notas autoadhesivas</v>
      </c>
      <c r="C2379" s="33" t="s">
        <v>55</v>
      </c>
      <c r="D2379" s="8">
        <v>3000</v>
      </c>
      <c r="E2379" s="11">
        <v>73.33</v>
      </c>
      <c r="F2379" s="10">
        <f t="shared" ca="1" si="1"/>
        <v>219990</v>
      </c>
    </row>
    <row r="2380" spans="1:6" x14ac:dyDescent="0.25">
      <c r="A2380" s="41">
        <v>60121702</v>
      </c>
      <c r="B2380" s="9" t="str">
        <f t="shared" ca="1" si="0"/>
        <v>Almohadilla para sellos de estampación de caucho</v>
      </c>
      <c r="C2380" s="33" t="s">
        <v>55</v>
      </c>
      <c r="D2380" s="8">
        <v>20</v>
      </c>
      <c r="E2380" s="11">
        <v>6000</v>
      </c>
      <c r="F2380" s="10">
        <f t="shared" ca="1" si="1"/>
        <v>120000</v>
      </c>
    </row>
    <row r="2381" spans="1:6" x14ac:dyDescent="0.25">
      <c r="A2381" s="41">
        <v>44122106</v>
      </c>
      <c r="B2381" s="9" t="str">
        <f t="shared" ca="1" si="0"/>
        <v>Alfileres o taches</v>
      </c>
      <c r="C2381" s="33" t="s">
        <v>55</v>
      </c>
      <c r="D2381" s="8">
        <v>350</v>
      </c>
      <c r="E2381" s="11">
        <v>228.57</v>
      </c>
      <c r="F2381" s="10">
        <f t="shared" ca="1" si="1"/>
        <v>79999.5</v>
      </c>
    </row>
    <row r="2382" spans="1:6" x14ac:dyDescent="0.25">
      <c r="A2382" s="41">
        <v>44101713</v>
      </c>
      <c r="B2382" s="9" t="str">
        <f t="shared" ca="1" si="0"/>
        <v>Contadores de copias</v>
      </c>
      <c r="C2382" s="33" t="s">
        <v>55</v>
      </c>
      <c r="D2382" s="8">
        <v>100</v>
      </c>
      <c r="E2382" s="11">
        <v>750</v>
      </c>
      <c r="F2382" s="10">
        <f t="shared" ca="1" si="1"/>
        <v>75000</v>
      </c>
    </row>
    <row r="2383" spans="1:6" x14ac:dyDescent="0.25">
      <c r="A2383" s="41">
        <v>44122101</v>
      </c>
      <c r="B2383" s="9" t="str">
        <f t="shared" ca="1" si="0"/>
        <v>Cauchos</v>
      </c>
      <c r="C2383" s="33" t="s">
        <v>49</v>
      </c>
      <c r="D2383" s="8">
        <v>2500</v>
      </c>
      <c r="E2383" s="11">
        <v>132</v>
      </c>
      <c r="F2383" s="10">
        <f t="shared" ca="1" si="1"/>
        <v>330000</v>
      </c>
    </row>
    <row r="2384" spans="1:6" x14ac:dyDescent="0.25">
      <c r="A2384" s="41">
        <v>44122101</v>
      </c>
      <c r="B2384" s="9" t="str">
        <f t="shared" ca="1" si="0"/>
        <v>Cauchos</v>
      </c>
      <c r="C2384" s="33" t="s">
        <v>49</v>
      </c>
      <c r="D2384" s="8">
        <v>2500</v>
      </c>
      <c r="E2384" s="11">
        <v>120</v>
      </c>
      <c r="F2384" s="10">
        <f t="shared" ca="1" si="1"/>
        <v>300000</v>
      </c>
    </row>
    <row r="2385" spans="1:6" x14ac:dyDescent="0.25">
      <c r="A2385" s="41">
        <v>44121804</v>
      </c>
      <c r="B2385" s="9" t="str">
        <f t="shared" ca="1" si="0"/>
        <v>Borradores</v>
      </c>
      <c r="C2385" s="33" t="s">
        <v>55</v>
      </c>
      <c r="D2385" s="8">
        <v>20</v>
      </c>
      <c r="E2385" s="11">
        <v>500</v>
      </c>
      <c r="F2385" s="10">
        <f t="shared" ca="1" si="1"/>
        <v>10000</v>
      </c>
    </row>
    <row r="2386" spans="1:6" x14ac:dyDescent="0.25">
      <c r="A2386" s="41">
        <v>44121802</v>
      </c>
      <c r="B2386" s="9" t="str">
        <f t="shared" ca="1" si="0"/>
        <v>Fluido de corrección</v>
      </c>
      <c r="C2386" s="33" t="s">
        <v>55</v>
      </c>
      <c r="D2386" s="8">
        <v>25</v>
      </c>
      <c r="E2386" s="11">
        <v>400</v>
      </c>
      <c r="F2386" s="10">
        <f t="shared" ca="1" si="1"/>
        <v>10000</v>
      </c>
    </row>
    <row r="2387" spans="1:6" x14ac:dyDescent="0.25">
      <c r="A2387" s="41">
        <v>31201512</v>
      </c>
      <c r="B2387" s="9" t="str">
        <f t="shared" ca="1" si="0"/>
        <v>Cinta transparente</v>
      </c>
      <c r="C2387" s="33" t="s">
        <v>55</v>
      </c>
      <c r="D2387" s="8">
        <v>2000</v>
      </c>
      <c r="E2387" s="11">
        <v>100</v>
      </c>
      <c r="F2387" s="10">
        <f t="shared" ca="1" si="1"/>
        <v>200000</v>
      </c>
    </row>
    <row r="2388" spans="1:6" x14ac:dyDescent="0.25">
      <c r="A2388" s="41">
        <v>31201512</v>
      </c>
      <c r="B2388" s="9" t="str">
        <f t="shared" ca="1" si="0"/>
        <v>Cinta transparente</v>
      </c>
      <c r="C2388" s="33" t="s">
        <v>55</v>
      </c>
      <c r="D2388" s="8">
        <v>1000</v>
      </c>
      <c r="E2388" s="11">
        <v>150</v>
      </c>
      <c r="F2388" s="10">
        <f t="shared" ca="1" si="1"/>
        <v>150000</v>
      </c>
    </row>
    <row r="2389" spans="1:6" x14ac:dyDescent="0.25">
      <c r="A2389" s="41">
        <v>44121635</v>
      </c>
      <c r="B2389" s="9" t="str">
        <f t="shared" ca="1" si="0"/>
        <v>Husos para cinta adhesiva</v>
      </c>
      <c r="C2389" s="33" t="s">
        <v>55</v>
      </c>
      <c r="D2389" s="8">
        <v>250</v>
      </c>
      <c r="E2389" s="11">
        <v>320</v>
      </c>
      <c r="F2389" s="10">
        <f t="shared" ca="1" si="1"/>
        <v>80000</v>
      </c>
    </row>
    <row r="2390" spans="1:6" x14ac:dyDescent="0.25">
      <c r="A2390" s="41">
        <v>44121635</v>
      </c>
      <c r="B2390" s="9" t="str">
        <f t="shared" ca="1" si="0"/>
        <v>Husos para cinta adhesiva</v>
      </c>
      <c r="C2390" s="33" t="s">
        <v>55</v>
      </c>
      <c r="D2390" s="8">
        <v>20</v>
      </c>
      <c r="E2390" s="11">
        <v>4000</v>
      </c>
      <c r="F2390" s="10">
        <f t="shared" ca="1" si="1"/>
        <v>80000</v>
      </c>
    </row>
    <row r="2391" spans="1:6" x14ac:dyDescent="0.25">
      <c r="A2391" s="41">
        <v>44121613</v>
      </c>
      <c r="B2391" s="9" t="str">
        <f t="shared" ca="1" si="0"/>
        <v>Removedores de grapas (saca ganchos)</v>
      </c>
      <c r="C2391" s="33" t="s">
        <v>55</v>
      </c>
      <c r="D2391" s="8">
        <v>200</v>
      </c>
      <c r="E2391" s="11">
        <v>700</v>
      </c>
      <c r="F2391" s="10">
        <f t="shared" ca="1" si="1"/>
        <v>140000</v>
      </c>
    </row>
    <row r="2392" spans="1:6" x14ac:dyDescent="0.25">
      <c r="A2392" s="41">
        <v>44121613</v>
      </c>
      <c r="B2392" s="9" t="str">
        <f t="shared" ca="1" si="0"/>
        <v>Removedores de grapas (saca ganchos)</v>
      </c>
      <c r="C2392" s="33" t="s">
        <v>55</v>
      </c>
      <c r="D2392" s="8">
        <v>500</v>
      </c>
      <c r="E2392" s="11">
        <v>70</v>
      </c>
      <c r="F2392" s="10">
        <f t="shared" ca="1" si="1"/>
        <v>35000</v>
      </c>
    </row>
    <row r="2393" spans="1:6" x14ac:dyDescent="0.25">
      <c r="A2393" s="41">
        <v>44121615</v>
      </c>
      <c r="B2393" s="9" t="str">
        <f t="shared" ca="1" si="0"/>
        <v>Grapadoras</v>
      </c>
      <c r="C2393" s="33" t="s">
        <v>55</v>
      </c>
      <c r="D2393" s="8">
        <v>500</v>
      </c>
      <c r="E2393" s="11">
        <v>300</v>
      </c>
      <c r="F2393" s="10">
        <f t="shared" ca="1" si="1"/>
        <v>150000</v>
      </c>
    </row>
    <row r="2394" spans="1:6" x14ac:dyDescent="0.25">
      <c r="A2394" s="41">
        <v>44122107</v>
      </c>
      <c r="B2394" s="9" t="str">
        <f t="shared" ref="B2394:B2420" ca="1" si="2">IFERROR(INDEX(UNSPSCDes,MATCH(INDIRECT(ADDRESS(ROW(),COLUMN()-1,4)),UNSPSCCode,0)),"")</f>
        <v>Grapas</v>
      </c>
      <c r="C2394" s="33" t="s">
        <v>49</v>
      </c>
      <c r="D2394" s="8">
        <v>2500</v>
      </c>
      <c r="E2394" s="11">
        <v>80</v>
      </c>
      <c r="F2394" s="10">
        <f t="shared" ca="1" si="1"/>
        <v>200000</v>
      </c>
    </row>
    <row r="2395" spans="1:6" x14ac:dyDescent="0.25">
      <c r="A2395" s="41">
        <v>44122107</v>
      </c>
      <c r="B2395" s="9" t="str">
        <f t="shared" ca="1" si="2"/>
        <v>Grapas</v>
      </c>
      <c r="C2395" s="33" t="s">
        <v>49</v>
      </c>
      <c r="D2395" s="8">
        <v>100</v>
      </c>
      <c r="E2395" s="11">
        <v>150</v>
      </c>
      <c r="F2395" s="10">
        <f t="shared" ca="1" si="1"/>
        <v>15000</v>
      </c>
    </row>
    <row r="2396" spans="1:6" x14ac:dyDescent="0.25">
      <c r="A2396" s="41">
        <v>27112121</v>
      </c>
      <c r="B2396" s="9" t="str">
        <f t="shared" ca="1" si="2"/>
        <v>Grapa de ángulo</v>
      </c>
      <c r="C2396" s="33" t="s">
        <v>49</v>
      </c>
      <c r="D2396" s="8">
        <v>20</v>
      </c>
      <c r="E2396" s="11">
        <v>200</v>
      </c>
      <c r="F2396" s="10">
        <f t="shared" ca="1" si="1"/>
        <v>4000</v>
      </c>
    </row>
    <row r="2397" spans="1:6" x14ac:dyDescent="0.25">
      <c r="A2397" s="41">
        <v>44121619</v>
      </c>
      <c r="B2397" s="9" t="str">
        <f t="shared" ca="1" si="2"/>
        <v>Tajalápices manuales</v>
      </c>
      <c r="C2397" s="33" t="s">
        <v>55</v>
      </c>
      <c r="D2397" s="8">
        <v>25</v>
      </c>
      <c r="E2397" s="11">
        <v>1500</v>
      </c>
      <c r="F2397" s="10">
        <f t="shared" ca="1" si="1"/>
        <v>37500</v>
      </c>
    </row>
    <row r="2398" spans="1:6" x14ac:dyDescent="0.25">
      <c r="A2398" s="41">
        <v>44121618</v>
      </c>
      <c r="B2398" s="9" t="str">
        <f t="shared" ca="1" si="2"/>
        <v>Tijeras</v>
      </c>
      <c r="C2398" s="33" t="s">
        <v>55</v>
      </c>
      <c r="D2398" s="8">
        <v>500</v>
      </c>
      <c r="E2398" s="11">
        <v>20</v>
      </c>
      <c r="F2398" s="10">
        <f t="shared" ca="1" si="1"/>
        <v>10000</v>
      </c>
    </row>
    <row r="2399" spans="1:6" x14ac:dyDescent="0.25">
      <c r="A2399" s="43">
        <v>44111509</v>
      </c>
      <c r="B2399" s="9" t="str">
        <f t="shared" ca="1" si="2"/>
        <v>Sujetadores de esferos o lápices</v>
      </c>
      <c r="C2399" s="33" t="s">
        <v>55</v>
      </c>
      <c r="D2399" s="8">
        <v>200</v>
      </c>
      <c r="E2399" s="11">
        <v>145</v>
      </c>
      <c r="F2399" s="10">
        <f t="shared" ca="1" si="1"/>
        <v>29000</v>
      </c>
    </row>
    <row r="2400" spans="1:6" x14ac:dyDescent="0.25">
      <c r="A2400" s="41">
        <v>44122012</v>
      </c>
      <c r="B2400" s="9" t="str">
        <f t="shared" ca="1" si="2"/>
        <v>Portapapeles</v>
      </c>
      <c r="C2400" s="33" t="s">
        <v>55</v>
      </c>
      <c r="D2400" s="8">
        <v>400</v>
      </c>
      <c r="E2400" s="11">
        <v>195</v>
      </c>
      <c r="F2400" s="10">
        <f t="shared" ca="1" si="1"/>
        <v>78000</v>
      </c>
    </row>
    <row r="2401" spans="1:6" x14ac:dyDescent="0.25">
      <c r="A2401" s="41">
        <v>27111503</v>
      </c>
      <c r="B2401" s="9" t="str">
        <f t="shared" ca="1" si="2"/>
        <v>Cuchillos de diversas aplicaciones</v>
      </c>
      <c r="C2401" s="33" t="s">
        <v>55</v>
      </c>
      <c r="D2401" s="8">
        <v>40</v>
      </c>
      <c r="E2401" s="11">
        <v>80</v>
      </c>
      <c r="F2401" s="10">
        <f t="shared" ca="1" si="1"/>
        <v>3200</v>
      </c>
    </row>
    <row r="2402" spans="1:6" x14ac:dyDescent="0.25">
      <c r="A2402" s="41">
        <v>43211802</v>
      </c>
      <c r="B2402" s="9" t="str">
        <f t="shared" ca="1" si="2"/>
        <v>Almohadillas (pads) para mouse</v>
      </c>
      <c r="C2402" s="33" t="s">
        <v>55</v>
      </c>
      <c r="D2402" s="8">
        <v>300</v>
      </c>
      <c r="E2402" s="11">
        <v>370</v>
      </c>
      <c r="F2402" s="10">
        <f t="shared" ca="1" si="1"/>
        <v>111000</v>
      </c>
    </row>
    <row r="2403" spans="1:6" x14ac:dyDescent="0.25">
      <c r="A2403" s="41">
        <v>44101602</v>
      </c>
      <c r="B2403" s="9" t="str">
        <f t="shared" ca="1" si="2"/>
        <v>Máquinas perforadoras o para unir papel</v>
      </c>
      <c r="C2403" s="33" t="s">
        <v>55</v>
      </c>
      <c r="D2403" s="8">
        <v>300</v>
      </c>
      <c r="E2403" s="11">
        <v>1200</v>
      </c>
      <c r="F2403" s="10">
        <f t="shared" ca="1" si="1"/>
        <v>360000</v>
      </c>
    </row>
    <row r="2404" spans="1:6" x14ac:dyDescent="0.25">
      <c r="A2404" s="41">
        <v>44122002</v>
      </c>
      <c r="B2404" s="9" t="str">
        <f t="shared" ca="1" si="2"/>
        <v>Protectores de hojas</v>
      </c>
      <c r="C2404" s="33" t="s">
        <v>74</v>
      </c>
      <c r="D2404" s="8">
        <v>800</v>
      </c>
      <c r="E2404" s="11">
        <v>37.5</v>
      </c>
      <c r="F2404" s="10">
        <f t="shared" ca="1" si="1"/>
        <v>30000</v>
      </c>
    </row>
    <row r="2405" spans="1:6" x14ac:dyDescent="0.25">
      <c r="A2405" s="41">
        <v>44122010</v>
      </c>
      <c r="B2405" s="9" t="str">
        <f t="shared" ca="1" si="2"/>
        <v>Separadores</v>
      </c>
      <c r="C2405" s="33" t="s">
        <v>74</v>
      </c>
      <c r="D2405" s="8">
        <v>500</v>
      </c>
      <c r="E2405" s="11">
        <v>50</v>
      </c>
      <c r="F2405" s="10">
        <f t="shared" ca="1" si="1"/>
        <v>25000</v>
      </c>
    </row>
    <row r="2406" spans="1:6" x14ac:dyDescent="0.25">
      <c r="A2406" s="41">
        <v>44122003</v>
      </c>
      <c r="B2406" s="9" t="str">
        <f t="shared" ca="1" si="2"/>
        <v>Carpetas</v>
      </c>
      <c r="C2406" s="33" t="s">
        <v>55</v>
      </c>
      <c r="D2406" s="8">
        <v>500</v>
      </c>
      <c r="E2406" s="11">
        <v>300</v>
      </c>
      <c r="F2406" s="10">
        <f t="shared" ca="1" si="1"/>
        <v>150000</v>
      </c>
    </row>
    <row r="2407" spans="1:6" x14ac:dyDescent="0.25">
      <c r="A2407" s="41">
        <v>44122003</v>
      </c>
      <c r="B2407" s="9" t="str">
        <f t="shared" ca="1" si="2"/>
        <v>Carpetas</v>
      </c>
      <c r="C2407" s="33" t="s">
        <v>55</v>
      </c>
      <c r="D2407" s="8">
        <v>600</v>
      </c>
      <c r="E2407" s="11">
        <v>700</v>
      </c>
      <c r="F2407" s="10">
        <f t="shared" ca="1" si="1"/>
        <v>420000</v>
      </c>
    </row>
    <row r="2408" spans="1:6" x14ac:dyDescent="0.25">
      <c r="A2408" s="41">
        <v>44122003</v>
      </c>
      <c r="B2408" s="9" t="str">
        <f t="shared" ca="1" si="2"/>
        <v>Carpetas</v>
      </c>
      <c r="C2408" s="33" t="s">
        <v>55</v>
      </c>
      <c r="D2408" s="8">
        <v>600</v>
      </c>
      <c r="E2408" s="11">
        <v>780</v>
      </c>
      <c r="F2408" s="10">
        <f t="shared" ca="1" si="1"/>
        <v>468000</v>
      </c>
    </row>
    <row r="2409" spans="1:6" x14ac:dyDescent="0.25">
      <c r="A2409" s="41">
        <v>44121503</v>
      </c>
      <c r="B2409" s="9" t="str">
        <f t="shared" ca="1" si="2"/>
        <v>Sobres</v>
      </c>
      <c r="C2409" s="33" t="s">
        <v>49</v>
      </c>
      <c r="D2409" s="8">
        <v>10</v>
      </c>
      <c r="E2409" s="11">
        <v>150</v>
      </c>
      <c r="F2409" s="10">
        <f t="shared" ca="1" si="1"/>
        <v>1500</v>
      </c>
    </row>
    <row r="2410" spans="1:6" x14ac:dyDescent="0.25">
      <c r="A2410" s="41">
        <v>44122011</v>
      </c>
      <c r="B2410" s="9" t="str">
        <f t="shared" ca="1" si="2"/>
        <v>Folders</v>
      </c>
      <c r="C2410" s="33" t="s">
        <v>49</v>
      </c>
      <c r="D2410" s="8">
        <v>200</v>
      </c>
      <c r="E2410" s="11">
        <v>350</v>
      </c>
      <c r="F2410" s="10">
        <f t="shared" ca="1" si="1"/>
        <v>70000</v>
      </c>
    </row>
    <row r="2411" spans="1:6" x14ac:dyDescent="0.25">
      <c r="A2411" s="41">
        <v>44122011</v>
      </c>
      <c r="B2411" s="9" t="str">
        <f t="shared" ca="1" si="2"/>
        <v>Folders</v>
      </c>
      <c r="C2411" s="33" t="s">
        <v>55</v>
      </c>
      <c r="D2411" s="8">
        <v>350</v>
      </c>
      <c r="E2411" s="11">
        <v>428.57</v>
      </c>
      <c r="F2411" s="10">
        <f t="shared" ca="1" si="1"/>
        <v>149999.5</v>
      </c>
    </row>
    <row r="2412" spans="1:6" x14ac:dyDescent="0.25">
      <c r="A2412" s="41">
        <v>44122011</v>
      </c>
      <c r="B2412" s="9" t="str">
        <f t="shared" ca="1" si="2"/>
        <v>Folders</v>
      </c>
      <c r="C2412" s="33" t="s">
        <v>49</v>
      </c>
      <c r="D2412" s="8">
        <v>50</v>
      </c>
      <c r="E2412" s="11">
        <v>1700</v>
      </c>
      <c r="F2412" s="10">
        <f t="shared" ca="1" si="1"/>
        <v>85000</v>
      </c>
    </row>
    <row r="2413" spans="1:6" x14ac:dyDescent="0.25">
      <c r="A2413" s="41">
        <v>44122011</v>
      </c>
      <c r="B2413" s="9" t="str">
        <f t="shared" ca="1" si="2"/>
        <v>Folders</v>
      </c>
      <c r="C2413" s="33" t="s">
        <v>49</v>
      </c>
      <c r="D2413" s="8">
        <v>15</v>
      </c>
      <c r="E2413" s="11">
        <v>6666.67</v>
      </c>
      <c r="F2413" s="10">
        <f t="shared" ca="1" si="1"/>
        <v>100000.05</v>
      </c>
    </row>
    <row r="2414" spans="1:6" x14ac:dyDescent="0.25">
      <c r="A2414" s="41">
        <v>44122011</v>
      </c>
      <c r="B2414" s="9" t="str">
        <f t="shared" ca="1" si="2"/>
        <v>Folders</v>
      </c>
      <c r="C2414" s="33" t="s">
        <v>49</v>
      </c>
      <c r="D2414" s="8">
        <v>300</v>
      </c>
      <c r="E2414" s="11">
        <v>316.67</v>
      </c>
      <c r="F2414" s="10">
        <f t="shared" ca="1" si="1"/>
        <v>95001</v>
      </c>
    </row>
    <row r="2415" spans="1:6" x14ac:dyDescent="0.25">
      <c r="A2415" s="41">
        <v>14111812</v>
      </c>
      <c r="B2415" s="9" t="str">
        <f t="shared" ca="1" si="2"/>
        <v>Formatos o libros de inventarios</v>
      </c>
      <c r="C2415" s="33" t="s">
        <v>55</v>
      </c>
      <c r="D2415" s="8">
        <v>1000</v>
      </c>
      <c r="E2415" s="11">
        <v>250</v>
      </c>
      <c r="F2415" s="10">
        <f t="shared" ca="1" si="1"/>
        <v>250000</v>
      </c>
    </row>
    <row r="2416" spans="1:6" x14ac:dyDescent="0.25">
      <c r="A2416" s="41">
        <v>44112001</v>
      </c>
      <c r="B2416" s="9" t="str">
        <f t="shared" ca="1" si="2"/>
        <v>Libretas de direcciones o repuestos</v>
      </c>
      <c r="C2416" s="33" t="s">
        <v>55</v>
      </c>
      <c r="D2416" s="8">
        <v>1000</v>
      </c>
      <c r="E2416" s="11">
        <v>70</v>
      </c>
      <c r="F2416" s="10">
        <f t="shared" ca="1" si="1"/>
        <v>70000</v>
      </c>
    </row>
    <row r="2417" spans="1:6" x14ac:dyDescent="0.25">
      <c r="A2417" s="41">
        <v>44112001</v>
      </c>
      <c r="B2417" s="9" t="str">
        <f t="shared" ca="1" si="2"/>
        <v>Libretas de direcciones o repuestos</v>
      </c>
      <c r="C2417" s="33" t="s">
        <v>55</v>
      </c>
      <c r="D2417" s="8">
        <v>1000</v>
      </c>
      <c r="E2417" s="11">
        <v>50</v>
      </c>
      <c r="F2417" s="10">
        <f t="shared" ca="1" si="1"/>
        <v>50000</v>
      </c>
    </row>
    <row r="2418" spans="1:6" x14ac:dyDescent="0.25">
      <c r="A2418" s="41">
        <v>44121503</v>
      </c>
      <c r="B2418" s="9" t="str">
        <f t="shared" ca="1" si="2"/>
        <v>Sobres</v>
      </c>
      <c r="C2418" s="33" t="s">
        <v>49</v>
      </c>
      <c r="D2418" s="8">
        <v>100</v>
      </c>
      <c r="E2418" s="11">
        <v>2000</v>
      </c>
      <c r="F2418" s="10">
        <f t="shared" ca="1" si="1"/>
        <v>200000</v>
      </c>
    </row>
    <row r="2419" spans="1:6" x14ac:dyDescent="0.25">
      <c r="A2419" s="41">
        <v>44121503</v>
      </c>
      <c r="B2419" s="9" t="str">
        <f t="shared" ca="1" si="2"/>
        <v>Sobres</v>
      </c>
      <c r="C2419" s="33" t="s">
        <v>49</v>
      </c>
      <c r="D2419" s="8">
        <v>20</v>
      </c>
      <c r="E2419" s="11">
        <v>12500</v>
      </c>
      <c r="F2419" s="10">
        <f t="shared" ca="1" si="1"/>
        <v>250000</v>
      </c>
    </row>
    <row r="2420" spans="1:6" x14ac:dyDescent="0.25">
      <c r="A2420" s="41">
        <v>44122011</v>
      </c>
      <c r="B2420" s="9" t="str">
        <f t="shared" ca="1" si="2"/>
        <v>Folders</v>
      </c>
      <c r="C2420" s="33" t="s">
        <v>49</v>
      </c>
      <c r="D2420" s="8">
        <v>100</v>
      </c>
      <c r="E2420" s="11">
        <v>1900</v>
      </c>
      <c r="F2420" s="10">
        <f t="shared" ca="1" si="1"/>
        <v>190000</v>
      </c>
    </row>
    <row r="2421" spans="1:6" x14ac:dyDescent="0.25">
      <c r="A2421" s="40"/>
      <c r="B2421" s="40"/>
      <c r="C2421" s="40"/>
      <c r="D2421" s="40"/>
      <c r="E2421" s="13" t="s">
        <v>87</v>
      </c>
      <c r="F2421" s="14">
        <f ca="1">SUM(Table351[MONTO TOTAL ESTIMADO])</f>
        <v>8494486.0500000007</v>
      </c>
    </row>
    <row r="2422" spans="1:6" ht="15.75" thickBot="1" x14ac:dyDescent="0.3">
      <c r="A2422" s="42"/>
      <c r="B2422" s="42"/>
      <c r="C2422" s="42"/>
      <c r="D2422" s="42"/>
      <c r="E2422" s="42"/>
      <c r="F2422" s="42"/>
    </row>
    <row r="2423" spans="1:6" ht="23.25" thickBot="1" x14ac:dyDescent="0.3">
      <c r="A2423" s="4" t="s">
        <v>19</v>
      </c>
      <c r="B2423" s="4" t="s">
        <v>20</v>
      </c>
      <c r="C2423" s="4" t="s">
        <v>21</v>
      </c>
      <c r="D2423" s="4" t="s">
        <v>22</v>
      </c>
      <c r="E2423" s="4" t="s">
        <v>23</v>
      </c>
      <c r="F2423" s="4" t="s">
        <v>24</v>
      </c>
    </row>
    <row r="2424" spans="1:6" ht="15.75" thickBot="1" x14ac:dyDescent="0.3">
      <c r="A2424" s="32" t="s">
        <v>245</v>
      </c>
      <c r="B2424" s="32" t="s">
        <v>246</v>
      </c>
      <c r="C2424" s="32" t="s">
        <v>27</v>
      </c>
      <c r="D2424" s="6" t="s">
        <v>247</v>
      </c>
      <c r="E2424" s="32" t="s">
        <v>29</v>
      </c>
      <c r="F2424" s="6"/>
    </row>
    <row r="2425" spans="1:6" ht="15.75" thickBot="1" x14ac:dyDescent="0.3">
      <c r="A2425" s="35" t="s">
        <v>31</v>
      </c>
      <c r="B2425" s="7" t="s">
        <v>32</v>
      </c>
      <c r="C2425" s="15">
        <v>45383</v>
      </c>
      <c r="D2425" s="35" t="s">
        <v>33</v>
      </c>
      <c r="E2425" s="7" t="s">
        <v>34</v>
      </c>
      <c r="F2425" s="6"/>
    </row>
    <row r="2426" spans="1:6" ht="15.75" thickBot="1" x14ac:dyDescent="0.3">
      <c r="A2426" s="36"/>
      <c r="B2426" s="7" t="s">
        <v>36</v>
      </c>
      <c r="C2426" s="5">
        <f>IF(C2425="","",IF(AND(MONTH(C2425)&gt;=1,MONTH(C2425)&lt;=3),1,IF(AND(MONTH(C2425)&gt;=4,MONTH(C2425)&lt;=6),2,IF(AND(MONTH(C2425)&gt;=7,MONTH(C2425)&lt;=9),3,4))))</f>
        <v>2</v>
      </c>
      <c r="D2426" s="36"/>
      <c r="E2426" s="7" t="s">
        <v>37</v>
      </c>
      <c r="F2426" s="6"/>
    </row>
    <row r="2427" spans="1:6" ht="15.75" thickBot="1" x14ac:dyDescent="0.3">
      <c r="A2427" s="36"/>
      <c r="B2427" s="7" t="s">
        <v>39</v>
      </c>
      <c r="C2427" s="15">
        <v>45473</v>
      </c>
      <c r="D2427" s="36"/>
      <c r="E2427" s="7" t="s">
        <v>40</v>
      </c>
      <c r="F2427" s="6"/>
    </row>
    <row r="2428" spans="1:6" ht="15.75" thickBot="1" x14ac:dyDescent="0.3">
      <c r="A2428" s="36"/>
      <c r="B2428" s="7" t="s">
        <v>36</v>
      </c>
      <c r="C2428" s="5">
        <f>IF(C2427="","",IF(AND(MONTH(C2427)&gt;=1,MONTH(C2427)&lt;=3),1,IF(AND(MONTH(C2427)&gt;=4,MONTH(C2427)&lt;=6),2,IF(AND(MONTH(C2427)&gt;=7,MONTH(C2427)&lt;=9),3,4))))</f>
        <v>2</v>
      </c>
      <c r="D2428" s="36"/>
      <c r="E2428" s="7" t="s">
        <v>41</v>
      </c>
      <c r="F2428" s="6"/>
    </row>
    <row r="2429" spans="1:6" ht="15.75" thickBot="1" x14ac:dyDescent="0.3">
      <c r="A2429" s="40"/>
      <c r="B2429" s="40"/>
      <c r="C2429" s="40"/>
      <c r="D2429" s="40"/>
      <c r="E2429" s="40"/>
      <c r="F2429" s="40"/>
    </row>
    <row r="2430" spans="1:6" ht="15.75" thickBot="1" x14ac:dyDescent="0.3">
      <c r="A2430" s="12" t="s">
        <v>42</v>
      </c>
      <c r="B2430" s="12" t="s">
        <v>43</v>
      </c>
      <c r="C2430" s="12" t="s">
        <v>44</v>
      </c>
      <c r="D2430" s="12" t="s">
        <v>45</v>
      </c>
      <c r="E2430" s="12" t="s">
        <v>46</v>
      </c>
      <c r="F2430" s="12" t="s">
        <v>47</v>
      </c>
    </row>
    <row r="2431" spans="1:6" x14ac:dyDescent="0.25">
      <c r="A2431" s="8">
        <v>46101801</v>
      </c>
      <c r="B2431" s="9" t="str">
        <f t="shared" ref="B2431:B2443" ca="1" si="3">IFERROR(INDEX(UNSPSCDes,MATCH(INDIRECT(ADDRESS(ROW(),COLUMN()-1,4)),UNSPSCCode,0)),"")</f>
        <v>Estuches para revólveres</v>
      </c>
      <c r="C2431" s="8" t="s">
        <v>55</v>
      </c>
      <c r="D2431" s="8">
        <v>1000</v>
      </c>
      <c r="E2431" s="11">
        <v>1003</v>
      </c>
      <c r="F2431" s="10">
        <f t="shared" ref="F2431:F2443" ca="1" si="4">INDIRECT(ADDRESS(ROW(),COLUMN()-2,4))*INDIRECT(ADDRESS(ROW(),COLUMN()-1,4))</f>
        <v>1003000</v>
      </c>
    </row>
    <row r="2432" spans="1:6" x14ac:dyDescent="0.25">
      <c r="A2432" s="8">
        <v>46101801</v>
      </c>
      <c r="B2432" s="9" t="str">
        <f t="shared" ca="1" si="3"/>
        <v>Estuches para revólveres</v>
      </c>
      <c r="C2432" s="33" t="s">
        <v>55</v>
      </c>
      <c r="D2432" s="8">
        <v>1000</v>
      </c>
      <c r="E2432" s="11">
        <v>708</v>
      </c>
      <c r="F2432" s="10">
        <f t="shared" ca="1" si="4"/>
        <v>708000</v>
      </c>
    </row>
    <row r="2433" spans="1:6" x14ac:dyDescent="0.25">
      <c r="A2433" s="8">
        <v>53121705</v>
      </c>
      <c r="B2433" s="9" t="str">
        <f t="shared" ca="1" si="3"/>
        <v>Estuches para equipos</v>
      </c>
      <c r="C2433" s="33" t="s">
        <v>55</v>
      </c>
      <c r="D2433" s="8">
        <v>1000</v>
      </c>
      <c r="E2433" s="11">
        <v>413</v>
      </c>
      <c r="F2433" s="10">
        <f t="shared" ca="1" si="4"/>
        <v>413000</v>
      </c>
    </row>
    <row r="2434" spans="1:6" x14ac:dyDescent="0.25">
      <c r="A2434" s="8">
        <v>53121705</v>
      </c>
      <c r="B2434" s="9" t="str">
        <f t="shared" ca="1" si="3"/>
        <v>Estuches para equipos</v>
      </c>
      <c r="C2434" s="33" t="s">
        <v>55</v>
      </c>
      <c r="D2434" s="8">
        <v>1000</v>
      </c>
      <c r="E2434" s="11">
        <v>1416</v>
      </c>
      <c r="F2434" s="10">
        <f t="shared" ca="1" si="4"/>
        <v>1416000</v>
      </c>
    </row>
    <row r="2435" spans="1:6" x14ac:dyDescent="0.25">
      <c r="A2435" s="8">
        <v>46171515</v>
      </c>
      <c r="B2435" s="9" t="str">
        <f t="shared" ca="1" si="3"/>
        <v>Cadenas de llaves o estuches de llaves</v>
      </c>
      <c r="C2435" s="33" t="s">
        <v>55</v>
      </c>
      <c r="D2435" s="8">
        <v>1000</v>
      </c>
      <c r="E2435" s="11">
        <v>236</v>
      </c>
      <c r="F2435" s="10">
        <f t="shared" ca="1" si="4"/>
        <v>236000</v>
      </c>
    </row>
    <row r="2436" spans="1:6" x14ac:dyDescent="0.25">
      <c r="A2436" s="8">
        <v>46151601</v>
      </c>
      <c r="B2436" s="9" t="str">
        <f t="shared" ca="1" si="3"/>
        <v>Esposas</v>
      </c>
      <c r="C2436" s="33" t="s">
        <v>55</v>
      </c>
      <c r="D2436" s="8">
        <v>1000</v>
      </c>
      <c r="E2436" s="11">
        <v>767</v>
      </c>
      <c r="F2436" s="10">
        <f t="shared" ca="1" si="4"/>
        <v>767000</v>
      </c>
    </row>
    <row r="2437" spans="1:6" x14ac:dyDescent="0.25">
      <c r="A2437" s="8">
        <v>53102501</v>
      </c>
      <c r="B2437" s="9" t="str">
        <f t="shared" ca="1" si="3"/>
        <v>Cinturones o tirantes</v>
      </c>
      <c r="C2437" s="33" t="s">
        <v>55</v>
      </c>
      <c r="D2437" s="8">
        <v>1000</v>
      </c>
      <c r="E2437" s="11">
        <v>1298</v>
      </c>
      <c r="F2437" s="10">
        <f t="shared" ca="1" si="4"/>
        <v>1298000</v>
      </c>
    </row>
    <row r="2438" spans="1:6" x14ac:dyDescent="0.25">
      <c r="A2438" s="8">
        <v>46151601</v>
      </c>
      <c r="B2438" s="9" t="str">
        <f t="shared" ca="1" si="3"/>
        <v>Esposas</v>
      </c>
      <c r="C2438" s="33" t="s">
        <v>55</v>
      </c>
      <c r="D2438" s="8">
        <v>1000</v>
      </c>
      <c r="E2438" s="11">
        <v>1711</v>
      </c>
      <c r="F2438" s="10">
        <f t="shared" ca="1" si="4"/>
        <v>1711000</v>
      </c>
    </row>
    <row r="2439" spans="1:6" x14ac:dyDescent="0.25">
      <c r="A2439" s="8">
        <v>46182501</v>
      </c>
      <c r="B2439" s="9" t="str">
        <f t="shared" ca="1" si="3"/>
        <v>Aerosol de pimienta</v>
      </c>
      <c r="C2439" s="33" t="s">
        <v>55</v>
      </c>
      <c r="D2439" s="8">
        <v>1000</v>
      </c>
      <c r="E2439" s="11">
        <v>1003</v>
      </c>
      <c r="F2439" s="10">
        <f t="shared" ca="1" si="4"/>
        <v>1003000</v>
      </c>
    </row>
    <row r="2440" spans="1:6" x14ac:dyDescent="0.25">
      <c r="A2440" s="8">
        <v>46101504</v>
      </c>
      <c r="B2440" s="9" t="str">
        <f t="shared" ca="1" si="3"/>
        <v>Pistolas</v>
      </c>
      <c r="C2440" s="33" t="s">
        <v>55</v>
      </c>
      <c r="D2440" s="8">
        <v>1000</v>
      </c>
      <c r="E2440" s="11">
        <v>11210</v>
      </c>
      <c r="F2440" s="10">
        <f t="shared" ca="1" si="4"/>
        <v>11210000</v>
      </c>
    </row>
    <row r="2441" spans="1:6" x14ac:dyDescent="0.25">
      <c r="A2441" s="8">
        <v>10141611</v>
      </c>
      <c r="B2441" s="9" t="str">
        <f t="shared" ca="1" si="3"/>
        <v>Soportes para correas</v>
      </c>
      <c r="C2441" s="33" t="s">
        <v>55</v>
      </c>
      <c r="D2441" s="8">
        <v>1000</v>
      </c>
      <c r="E2441" s="11">
        <v>295</v>
      </c>
      <c r="F2441" s="10">
        <f t="shared" ca="1" si="4"/>
        <v>295000</v>
      </c>
    </row>
    <row r="2442" spans="1:6" x14ac:dyDescent="0.25">
      <c r="A2442" s="8">
        <v>53121705</v>
      </c>
      <c r="B2442" s="9" t="str">
        <f t="shared" ca="1" si="3"/>
        <v>Estuches para equipos</v>
      </c>
      <c r="C2442" s="33" t="s">
        <v>55</v>
      </c>
      <c r="D2442" s="8">
        <v>1000</v>
      </c>
      <c r="E2442" s="11">
        <v>413</v>
      </c>
      <c r="F2442" s="10">
        <f t="shared" ca="1" si="4"/>
        <v>413000</v>
      </c>
    </row>
    <row r="2443" spans="1:6" x14ac:dyDescent="0.25">
      <c r="A2443" s="8">
        <v>53121705</v>
      </c>
      <c r="B2443" s="9" t="str">
        <f t="shared" ca="1" si="3"/>
        <v>Estuches para equipos</v>
      </c>
      <c r="C2443" s="33" t="s">
        <v>55</v>
      </c>
      <c r="D2443" s="8">
        <v>1000</v>
      </c>
      <c r="E2443" s="11">
        <v>531</v>
      </c>
      <c r="F2443" s="10">
        <f t="shared" ca="1" si="4"/>
        <v>531000</v>
      </c>
    </row>
    <row r="2444" spans="1:6" x14ac:dyDescent="0.25">
      <c r="A2444" s="40"/>
      <c r="B2444" s="40"/>
      <c r="C2444" s="40"/>
      <c r="D2444" s="40"/>
      <c r="E2444" s="13" t="s">
        <v>87</v>
      </c>
      <c r="F2444" s="14">
        <f ca="1">SUM(Table352[MONTO TOTAL ESTIMADO])</f>
        <v>21004000</v>
      </c>
    </row>
    <row r="2445" spans="1:6" ht="15.75" thickBot="1" x14ac:dyDescent="0.3">
      <c r="A2445" s="42"/>
      <c r="B2445" s="42"/>
      <c r="C2445" s="42"/>
      <c r="D2445" s="42"/>
      <c r="E2445" s="42"/>
      <c r="F2445" s="42"/>
    </row>
    <row r="2446" spans="1:6" ht="23.25" thickBot="1" x14ac:dyDescent="0.3">
      <c r="A2446" s="4" t="s">
        <v>19</v>
      </c>
      <c r="B2446" s="4" t="s">
        <v>20</v>
      </c>
      <c r="C2446" s="4" t="s">
        <v>21</v>
      </c>
      <c r="D2446" s="4" t="s">
        <v>22</v>
      </c>
      <c r="E2446" s="4" t="s">
        <v>23</v>
      </c>
      <c r="F2446" s="4" t="s">
        <v>24</v>
      </c>
    </row>
    <row r="2447" spans="1:6" ht="15.75" thickBot="1" x14ac:dyDescent="0.3">
      <c r="A2447" s="32" t="s">
        <v>256</v>
      </c>
      <c r="B2447" s="32" t="s">
        <v>257</v>
      </c>
      <c r="C2447" s="32" t="s">
        <v>129</v>
      </c>
      <c r="D2447" s="6" t="s">
        <v>130</v>
      </c>
      <c r="E2447" s="32" t="s">
        <v>29</v>
      </c>
      <c r="F2447" s="6"/>
    </row>
    <row r="2448" spans="1:6" ht="15.75" thickBot="1" x14ac:dyDescent="0.3">
      <c r="A2448" s="35" t="s">
        <v>31</v>
      </c>
      <c r="B2448" s="7" t="s">
        <v>32</v>
      </c>
      <c r="C2448" s="15">
        <v>45383</v>
      </c>
      <c r="D2448" s="35" t="s">
        <v>33</v>
      </c>
      <c r="E2448" s="7" t="s">
        <v>34</v>
      </c>
      <c r="F2448" s="6"/>
    </row>
    <row r="2449" spans="1:6" ht="15.75" thickBot="1" x14ac:dyDescent="0.3">
      <c r="A2449" s="36"/>
      <c r="B2449" s="7" t="s">
        <v>36</v>
      </c>
      <c r="C2449" s="5">
        <f>IF(C2448="","",IF(AND(MONTH(C2448)&gt;=1,MONTH(C2448)&lt;=3),1,IF(AND(MONTH(C2448)&gt;=4,MONTH(C2448)&lt;=6),2,IF(AND(MONTH(C2448)&gt;=7,MONTH(C2448)&lt;=9),3,4))))</f>
        <v>2</v>
      </c>
      <c r="D2449" s="36"/>
      <c r="E2449" s="7" t="s">
        <v>37</v>
      </c>
      <c r="F2449" s="6"/>
    </row>
    <row r="2450" spans="1:6" ht="15.75" thickBot="1" x14ac:dyDescent="0.3">
      <c r="A2450" s="36"/>
      <c r="B2450" s="7" t="s">
        <v>39</v>
      </c>
      <c r="C2450" s="15">
        <v>45473</v>
      </c>
      <c r="D2450" s="36"/>
      <c r="E2450" s="7" t="s">
        <v>40</v>
      </c>
      <c r="F2450" s="6"/>
    </row>
    <row r="2451" spans="1:6" ht="15.75" thickBot="1" x14ac:dyDescent="0.3">
      <c r="A2451" s="36"/>
      <c r="B2451" s="7" t="s">
        <v>36</v>
      </c>
      <c r="C2451" s="5">
        <f>IF(C2450="","",IF(AND(MONTH(C2450)&gt;=1,MONTH(C2450)&lt;=3),1,IF(AND(MONTH(C2450)&gt;=4,MONTH(C2450)&lt;=6),2,IF(AND(MONTH(C2450)&gt;=7,MONTH(C2450)&lt;=9),3,4))))</f>
        <v>2</v>
      </c>
      <c r="D2451" s="36"/>
      <c r="E2451" s="7" t="s">
        <v>41</v>
      </c>
      <c r="F2451" s="6"/>
    </row>
    <row r="2452" spans="1:6" ht="15.75" thickBot="1" x14ac:dyDescent="0.3">
      <c r="A2452" s="40"/>
      <c r="B2452" s="40"/>
      <c r="C2452" s="40"/>
      <c r="D2452" s="40"/>
      <c r="E2452" s="40"/>
      <c r="F2452" s="40"/>
    </row>
    <row r="2453" spans="1:6" ht="15.75" thickBot="1" x14ac:dyDescent="0.3">
      <c r="A2453" s="12" t="s">
        <v>42</v>
      </c>
      <c r="B2453" s="12" t="s">
        <v>43</v>
      </c>
      <c r="C2453" s="12" t="s">
        <v>44</v>
      </c>
      <c r="D2453" s="12" t="s">
        <v>45</v>
      </c>
      <c r="E2453" s="12" t="s">
        <v>46</v>
      </c>
      <c r="F2453" s="12" t="s">
        <v>47</v>
      </c>
    </row>
    <row r="2454" spans="1:6" x14ac:dyDescent="0.25">
      <c r="A2454" s="8">
        <v>82101601</v>
      </c>
      <c r="B2454" s="9" t="str">
        <f ca="1">IFERROR(INDEX(UNSPSCDes,MATCH(INDIRECT(ADDRESS(ROW(),COLUMN()-1,4)),UNSPSCCode,0)),"")</f>
        <v>Publicidad en radio</v>
      </c>
      <c r="C2454" s="8" t="s">
        <v>55</v>
      </c>
      <c r="D2454" s="8">
        <v>1</v>
      </c>
      <c r="E2454" s="11">
        <v>7434000</v>
      </c>
      <c r="F2454" s="10">
        <f ca="1">INDIRECT(ADDRESS(ROW(),COLUMN()-2,4))*INDIRECT(ADDRESS(ROW(),COLUMN()-1,4))</f>
        <v>7434000</v>
      </c>
    </row>
    <row r="2455" spans="1:6" x14ac:dyDescent="0.25">
      <c r="A2455" s="8">
        <v>82101602</v>
      </c>
      <c r="B2455" s="9" t="str">
        <f ca="1">IFERROR(INDEX(UNSPSCDes,MATCH(INDIRECT(ADDRESS(ROW(),COLUMN()-1,4)),UNSPSCCode,0)),"")</f>
        <v>Publicidad en televisión</v>
      </c>
      <c r="C2455" s="33" t="s">
        <v>55</v>
      </c>
      <c r="D2455" s="8">
        <v>1</v>
      </c>
      <c r="E2455" s="11">
        <v>2992480</v>
      </c>
      <c r="F2455" s="10">
        <f ca="1">INDIRECT(ADDRESS(ROW(),COLUMN()-2,4))*INDIRECT(ADDRESS(ROW(),COLUMN()-1,4))</f>
        <v>2992480</v>
      </c>
    </row>
    <row r="2456" spans="1:6" x14ac:dyDescent="0.25">
      <c r="A2456" s="40"/>
      <c r="B2456" s="40"/>
      <c r="C2456" s="40"/>
      <c r="D2456" s="40"/>
      <c r="E2456" s="13" t="s">
        <v>87</v>
      </c>
      <c r="F2456" s="14">
        <f ca="1">SUM(Table353[MONTO TOTAL ESTIMADO])</f>
        <v>10426480</v>
      </c>
    </row>
    <row r="2457" spans="1:6" ht="15.75" thickBot="1" x14ac:dyDescent="0.3">
      <c r="A2457" s="42"/>
      <c r="B2457" s="42"/>
      <c r="C2457" s="42"/>
      <c r="D2457" s="42"/>
      <c r="E2457" s="42"/>
      <c r="F2457" s="42"/>
    </row>
    <row r="2458" spans="1:6" ht="23.25" thickBot="1" x14ac:dyDescent="0.3">
      <c r="A2458" s="4" t="s">
        <v>19</v>
      </c>
      <c r="B2458" s="4" t="s">
        <v>20</v>
      </c>
      <c r="C2458" s="4" t="s">
        <v>21</v>
      </c>
      <c r="D2458" s="4" t="s">
        <v>22</v>
      </c>
      <c r="E2458" s="4" t="s">
        <v>23</v>
      </c>
      <c r="F2458" s="4" t="s">
        <v>24</v>
      </c>
    </row>
    <row r="2459" spans="1:6" ht="15.75" thickBot="1" x14ac:dyDescent="0.3">
      <c r="A2459" s="32" t="s">
        <v>260</v>
      </c>
      <c r="B2459" s="32" t="s">
        <v>261</v>
      </c>
      <c r="C2459" s="32" t="s">
        <v>27</v>
      </c>
      <c r="D2459" s="6" t="s">
        <v>28</v>
      </c>
      <c r="E2459" s="6" t="s">
        <v>262</v>
      </c>
      <c r="F2459" s="6"/>
    </row>
    <row r="2460" spans="1:6" ht="15.75" thickBot="1" x14ac:dyDescent="0.3">
      <c r="A2460" s="35" t="s">
        <v>31</v>
      </c>
      <c r="B2460" s="7" t="s">
        <v>32</v>
      </c>
      <c r="C2460" s="15">
        <v>45383</v>
      </c>
      <c r="D2460" s="35" t="s">
        <v>33</v>
      </c>
      <c r="E2460" s="7" t="s">
        <v>34</v>
      </c>
      <c r="F2460" s="6"/>
    </row>
    <row r="2461" spans="1:6" ht="15.75" thickBot="1" x14ac:dyDescent="0.3">
      <c r="A2461" s="36"/>
      <c r="B2461" s="7" t="s">
        <v>36</v>
      </c>
      <c r="C2461" s="5">
        <f>IF(C2460="","",IF(AND(MONTH(C2460)&gt;=1,MONTH(C2460)&lt;=3),1,IF(AND(MONTH(C2460)&gt;=4,MONTH(C2460)&lt;=6),2,IF(AND(MONTH(C2460)&gt;=7,MONTH(C2460)&lt;=9),3,4))))</f>
        <v>2</v>
      </c>
      <c r="D2461" s="36"/>
      <c r="E2461" s="7" t="s">
        <v>37</v>
      </c>
      <c r="F2461" s="6"/>
    </row>
    <row r="2462" spans="1:6" ht="15.75" thickBot="1" x14ac:dyDescent="0.3">
      <c r="A2462" s="36"/>
      <c r="B2462" s="7" t="s">
        <v>39</v>
      </c>
      <c r="C2462" s="15">
        <v>45473</v>
      </c>
      <c r="D2462" s="36"/>
      <c r="E2462" s="7" t="s">
        <v>40</v>
      </c>
      <c r="F2462" s="6"/>
    </row>
    <row r="2463" spans="1:6" ht="15.75" thickBot="1" x14ac:dyDescent="0.3">
      <c r="A2463" s="36"/>
      <c r="B2463" s="7" t="s">
        <v>36</v>
      </c>
      <c r="C2463" s="5">
        <f>IF(C2462="","",IF(AND(MONTH(C2462)&gt;=1,MONTH(C2462)&lt;=3),1,IF(AND(MONTH(C2462)&gt;=4,MONTH(C2462)&lt;=6),2,IF(AND(MONTH(C2462)&gt;=7,MONTH(C2462)&lt;=9),3,4))))</f>
        <v>2</v>
      </c>
      <c r="D2463" s="36"/>
      <c r="E2463" s="7" t="s">
        <v>41</v>
      </c>
      <c r="F2463" s="6"/>
    </row>
    <row r="2464" spans="1:6" ht="15.75" thickBot="1" x14ac:dyDescent="0.3">
      <c r="A2464" s="40"/>
      <c r="B2464" s="40"/>
      <c r="C2464" s="40"/>
      <c r="D2464" s="40"/>
      <c r="E2464" s="40"/>
      <c r="F2464" s="40"/>
    </row>
    <row r="2465" spans="1:6" ht="15.75" thickBot="1" x14ac:dyDescent="0.3">
      <c r="A2465" s="12" t="s">
        <v>42</v>
      </c>
      <c r="B2465" s="12" t="s">
        <v>43</v>
      </c>
      <c r="C2465" s="12" t="s">
        <v>44</v>
      </c>
      <c r="D2465" s="12" t="s">
        <v>45</v>
      </c>
      <c r="E2465" s="12" t="s">
        <v>46</v>
      </c>
      <c r="F2465" s="12" t="s">
        <v>47</v>
      </c>
    </row>
    <row r="2466" spans="1:6" x14ac:dyDescent="0.25">
      <c r="A2466" s="8">
        <v>30171501</v>
      </c>
      <c r="B2466" s="9" t="str">
        <f ca="1">IFERROR(INDEX(UNSPSCDes,MATCH(INDIRECT(ADDRESS(ROW(),COLUMN()-1,4)),UNSPSCCode,0)),"")</f>
        <v>Puertas de cristal</v>
      </c>
      <c r="C2466" s="8" t="s">
        <v>55</v>
      </c>
      <c r="D2466" s="8">
        <v>19</v>
      </c>
      <c r="E2466" s="11">
        <v>32800</v>
      </c>
      <c r="F2466" s="10">
        <f ca="1">INDIRECT(ADDRESS(ROW(),COLUMN()-2,4))*INDIRECT(ADDRESS(ROW(),COLUMN()-1,4))</f>
        <v>623200</v>
      </c>
    </row>
    <row r="2467" spans="1:6" x14ac:dyDescent="0.25">
      <c r="A2467" s="8">
        <v>30171605</v>
      </c>
      <c r="B2467" s="9" t="str">
        <f ca="1">IFERROR(INDEX(UNSPSCDes,MATCH(INDIRECT(ADDRESS(ROW(),COLUMN()-1,4)),UNSPSCCode,0)),"")</f>
        <v>Ventanas de apertura horizontal</v>
      </c>
      <c r="C2467" s="33" t="s">
        <v>55</v>
      </c>
      <c r="D2467" s="8">
        <v>160</v>
      </c>
      <c r="E2467" s="11">
        <v>2419</v>
      </c>
      <c r="F2467" s="10">
        <f ca="1">INDIRECT(ADDRESS(ROW(),COLUMN()-2,4))*INDIRECT(ADDRESS(ROW(),COLUMN()-1,4))</f>
        <v>387040</v>
      </c>
    </row>
    <row r="2468" spans="1:6" x14ac:dyDescent="0.25">
      <c r="A2468" s="8">
        <v>30171605</v>
      </c>
      <c r="B2468" s="9" t="str">
        <f ca="1">IFERROR(INDEX(UNSPSCDes,MATCH(INDIRECT(ADDRESS(ROW(),COLUMN()-1,4)),UNSPSCCode,0)),"")</f>
        <v>Ventanas de apertura horizontal</v>
      </c>
      <c r="C2468" s="33" t="s">
        <v>55</v>
      </c>
      <c r="D2468" s="8">
        <v>170</v>
      </c>
      <c r="E2468" s="11">
        <v>2419</v>
      </c>
      <c r="F2468" s="10">
        <f ca="1">INDIRECT(ADDRESS(ROW(),COLUMN()-2,4))*INDIRECT(ADDRESS(ROW(),COLUMN()-1,4))</f>
        <v>411230</v>
      </c>
    </row>
    <row r="2469" spans="1:6" x14ac:dyDescent="0.25">
      <c r="A2469" s="40"/>
      <c r="B2469" s="40"/>
      <c r="C2469" s="40"/>
      <c r="D2469" s="40"/>
      <c r="E2469" s="13" t="s">
        <v>87</v>
      </c>
      <c r="F2469" s="14">
        <f ca="1">SUM(Table354[MONTO TOTAL ESTIMADO])</f>
        <v>1421470</v>
      </c>
    </row>
    <row r="2470" spans="1:6" ht="15.75" thickBot="1" x14ac:dyDescent="0.3">
      <c r="A2470" s="42"/>
      <c r="B2470" s="42"/>
      <c r="C2470" s="42"/>
      <c r="D2470" s="42"/>
      <c r="E2470" s="42"/>
      <c r="F2470" s="42"/>
    </row>
    <row r="2471" spans="1:6" ht="23.25" thickBot="1" x14ac:dyDescent="0.3">
      <c r="A2471" s="4" t="s">
        <v>19</v>
      </c>
      <c r="B2471" s="4" t="s">
        <v>20</v>
      </c>
      <c r="C2471" s="4" t="s">
        <v>21</v>
      </c>
      <c r="D2471" s="4" t="s">
        <v>22</v>
      </c>
      <c r="E2471" s="4" t="s">
        <v>23</v>
      </c>
      <c r="F2471" s="4" t="s">
        <v>24</v>
      </c>
    </row>
    <row r="2472" spans="1:6" ht="15.75" thickBot="1" x14ac:dyDescent="0.3">
      <c r="A2472" s="32" t="s">
        <v>265</v>
      </c>
      <c r="B2472" s="32" t="s">
        <v>266</v>
      </c>
      <c r="C2472" s="32" t="s">
        <v>27</v>
      </c>
      <c r="D2472" s="6" t="s">
        <v>28</v>
      </c>
      <c r="E2472" s="6" t="s">
        <v>262</v>
      </c>
      <c r="F2472" s="6"/>
    </row>
    <row r="2473" spans="1:6" ht="15.75" thickBot="1" x14ac:dyDescent="0.3">
      <c r="A2473" s="35" t="s">
        <v>31</v>
      </c>
      <c r="B2473" s="7" t="s">
        <v>32</v>
      </c>
      <c r="C2473" s="15">
        <v>45383</v>
      </c>
      <c r="D2473" s="35" t="s">
        <v>33</v>
      </c>
      <c r="E2473" s="7" t="s">
        <v>34</v>
      </c>
      <c r="F2473" s="6"/>
    </row>
    <row r="2474" spans="1:6" ht="15.75" thickBot="1" x14ac:dyDescent="0.3">
      <c r="A2474" s="36"/>
      <c r="B2474" s="7" t="s">
        <v>36</v>
      </c>
      <c r="C2474" s="5">
        <f>IF(C2473="","",IF(AND(MONTH(C2473)&gt;=1,MONTH(C2473)&lt;=3),1,IF(AND(MONTH(C2473)&gt;=4,MONTH(C2473)&lt;=6),2,IF(AND(MONTH(C2473)&gt;=7,MONTH(C2473)&lt;=9),3,4))))</f>
        <v>2</v>
      </c>
      <c r="D2474" s="36"/>
      <c r="E2474" s="7" t="s">
        <v>37</v>
      </c>
      <c r="F2474" s="6"/>
    </row>
    <row r="2475" spans="1:6" ht="15.75" thickBot="1" x14ac:dyDescent="0.3">
      <c r="A2475" s="36"/>
      <c r="B2475" s="7" t="s">
        <v>39</v>
      </c>
      <c r="C2475" s="15">
        <v>45473</v>
      </c>
      <c r="D2475" s="36"/>
      <c r="E2475" s="7" t="s">
        <v>40</v>
      </c>
      <c r="F2475" s="6"/>
    </row>
    <row r="2476" spans="1:6" ht="15.75" thickBot="1" x14ac:dyDescent="0.3">
      <c r="A2476" s="36"/>
      <c r="B2476" s="7" t="s">
        <v>36</v>
      </c>
      <c r="C2476" s="5">
        <f>IF(C2475="","",IF(AND(MONTH(C2475)&gt;=1,MONTH(C2475)&lt;=3),1,IF(AND(MONTH(C2475)&gt;=4,MONTH(C2475)&lt;=6),2,IF(AND(MONTH(C2475)&gt;=7,MONTH(C2475)&lt;=9),3,4))))</f>
        <v>2</v>
      </c>
      <c r="D2476" s="36"/>
      <c r="E2476" s="7" t="s">
        <v>41</v>
      </c>
      <c r="F2476" s="6"/>
    </row>
    <row r="2477" spans="1:6" ht="15.75" thickBot="1" x14ac:dyDescent="0.3">
      <c r="A2477" s="40"/>
      <c r="B2477" s="40"/>
      <c r="C2477" s="40"/>
      <c r="D2477" s="40"/>
      <c r="E2477" s="40"/>
      <c r="F2477" s="40"/>
    </row>
    <row r="2478" spans="1:6" ht="15.75" thickBot="1" x14ac:dyDescent="0.3">
      <c r="A2478" s="12" t="s">
        <v>42</v>
      </c>
      <c r="B2478" s="12" t="s">
        <v>43</v>
      </c>
      <c r="C2478" s="12" t="s">
        <v>44</v>
      </c>
      <c r="D2478" s="12" t="s">
        <v>45</v>
      </c>
      <c r="E2478" s="12" t="s">
        <v>46</v>
      </c>
      <c r="F2478" s="12" t="s">
        <v>47</v>
      </c>
    </row>
    <row r="2479" spans="1:6" x14ac:dyDescent="0.25">
      <c r="A2479" s="8">
        <v>30171706</v>
      </c>
      <c r="B2479" s="9" t="str">
        <f ca="1">IFERROR(INDEX(UNSPSCDes,MATCH(INDIRECT(ADDRESS(ROW(),COLUMN()-1,4)),UNSPSCCode,0)),"")</f>
        <v>Vidrio templado</v>
      </c>
      <c r="C2479" s="33" t="s">
        <v>55</v>
      </c>
      <c r="D2479" s="8">
        <v>500</v>
      </c>
      <c r="E2479" s="11">
        <v>2478</v>
      </c>
      <c r="F2479" s="10">
        <f ca="1">INDIRECT(ADDRESS(ROW(),COLUMN()-2,4))*INDIRECT(ADDRESS(ROW(),COLUMN()-1,4))</f>
        <v>1239000</v>
      </c>
    </row>
    <row r="2480" spans="1:6" x14ac:dyDescent="0.25">
      <c r="A2480" s="40"/>
      <c r="B2480" s="40"/>
      <c r="C2480" s="40"/>
      <c r="D2480" s="40"/>
      <c r="E2480" s="13" t="s">
        <v>87</v>
      </c>
      <c r="F2480" s="14">
        <f ca="1">SUM(Table355[MONTO TOTAL ESTIMADO])</f>
        <v>1239000</v>
      </c>
    </row>
    <row r="2481" spans="1:6" ht="15.75" thickBot="1" x14ac:dyDescent="0.3">
      <c r="A2481" s="42"/>
      <c r="B2481" s="42"/>
      <c r="C2481" s="42"/>
      <c r="D2481" s="42"/>
      <c r="E2481" s="42"/>
      <c r="F2481" s="42"/>
    </row>
    <row r="2482" spans="1:6" ht="23.25" thickBot="1" x14ac:dyDescent="0.3">
      <c r="A2482" s="4" t="s">
        <v>19</v>
      </c>
      <c r="B2482" s="4" t="s">
        <v>20</v>
      </c>
      <c r="C2482" s="4" t="s">
        <v>21</v>
      </c>
      <c r="D2482" s="4" t="s">
        <v>22</v>
      </c>
      <c r="E2482" s="4" t="s">
        <v>23</v>
      </c>
      <c r="F2482" s="4" t="s">
        <v>24</v>
      </c>
    </row>
    <row r="2483" spans="1:6" ht="15.75" thickBot="1" x14ac:dyDescent="0.3">
      <c r="A2483" s="32" t="s">
        <v>268</v>
      </c>
      <c r="B2483" s="32" t="s">
        <v>269</v>
      </c>
      <c r="C2483" s="32" t="s">
        <v>129</v>
      </c>
      <c r="D2483" s="6" t="s">
        <v>28</v>
      </c>
      <c r="E2483" s="6" t="s">
        <v>262</v>
      </c>
      <c r="F2483" s="6"/>
    </row>
    <row r="2484" spans="1:6" ht="15.75" thickBot="1" x14ac:dyDescent="0.3">
      <c r="A2484" s="35" t="s">
        <v>31</v>
      </c>
      <c r="B2484" s="7" t="s">
        <v>32</v>
      </c>
      <c r="C2484" s="15">
        <v>45383</v>
      </c>
      <c r="D2484" s="35" t="s">
        <v>33</v>
      </c>
      <c r="E2484" s="7" t="s">
        <v>34</v>
      </c>
      <c r="F2484" s="6"/>
    </row>
    <row r="2485" spans="1:6" ht="15.75" thickBot="1" x14ac:dyDescent="0.3">
      <c r="A2485" s="36"/>
      <c r="B2485" s="7" t="s">
        <v>36</v>
      </c>
      <c r="C2485" s="5">
        <f>IF(C2484="","",IF(AND(MONTH(C2484)&gt;=1,MONTH(C2484)&lt;=3),1,IF(AND(MONTH(C2484)&gt;=4,MONTH(C2484)&lt;=6),2,IF(AND(MONTH(C2484)&gt;=7,MONTH(C2484)&lt;=9),3,4))))</f>
        <v>2</v>
      </c>
      <c r="D2485" s="36"/>
      <c r="E2485" s="7" t="s">
        <v>37</v>
      </c>
      <c r="F2485" s="6"/>
    </row>
    <row r="2486" spans="1:6" ht="15.75" thickBot="1" x14ac:dyDescent="0.3">
      <c r="A2486" s="36"/>
      <c r="B2486" s="7" t="s">
        <v>39</v>
      </c>
      <c r="C2486" s="15">
        <v>45473</v>
      </c>
      <c r="D2486" s="36"/>
      <c r="E2486" s="7" t="s">
        <v>40</v>
      </c>
      <c r="F2486" s="6"/>
    </row>
    <row r="2487" spans="1:6" ht="15.75" thickBot="1" x14ac:dyDescent="0.3">
      <c r="A2487" s="36"/>
      <c r="B2487" s="7" t="s">
        <v>36</v>
      </c>
      <c r="C2487" s="5">
        <f>IF(C2486="","",IF(AND(MONTH(C2486)&gt;=1,MONTH(C2486)&lt;=3),1,IF(AND(MONTH(C2486)&gt;=4,MONTH(C2486)&lt;=6),2,IF(AND(MONTH(C2486)&gt;=7,MONTH(C2486)&lt;=9),3,4))))</f>
        <v>2</v>
      </c>
      <c r="D2487" s="36"/>
      <c r="E2487" s="7" t="s">
        <v>41</v>
      </c>
      <c r="F2487" s="6"/>
    </row>
    <row r="2488" spans="1:6" ht="15.75" thickBot="1" x14ac:dyDescent="0.3">
      <c r="A2488" s="40"/>
      <c r="B2488" s="40"/>
      <c r="C2488" s="40"/>
      <c r="D2488" s="40"/>
      <c r="E2488" s="40"/>
      <c r="F2488" s="40"/>
    </row>
    <row r="2489" spans="1:6" ht="15.75" thickBot="1" x14ac:dyDescent="0.3">
      <c r="A2489" s="12" t="s">
        <v>42</v>
      </c>
      <c r="B2489" s="12" t="s">
        <v>43</v>
      </c>
      <c r="C2489" s="12" t="s">
        <v>44</v>
      </c>
      <c r="D2489" s="12" t="s">
        <v>45</v>
      </c>
      <c r="E2489" s="12" t="s">
        <v>46</v>
      </c>
      <c r="F2489" s="12" t="s">
        <v>47</v>
      </c>
    </row>
    <row r="2490" spans="1:6" x14ac:dyDescent="0.25">
      <c r="A2490" s="8">
        <v>78111808</v>
      </c>
      <c r="B2490" s="9" t="str">
        <f ca="1">IFERROR(INDEX(UNSPSCDes,MATCH(INDIRECT(ADDRESS(ROW(),COLUMN()-1,4)),UNSPSCCode,0)),"")</f>
        <v>Alquiler de vehículos</v>
      </c>
      <c r="C2490" s="8" t="s">
        <v>55</v>
      </c>
      <c r="D2490" s="8">
        <v>10</v>
      </c>
      <c r="E2490" s="11">
        <v>16800</v>
      </c>
      <c r="F2490" s="10">
        <f ca="1">INDIRECT(ADDRESS(ROW(),COLUMN()-2,4))*INDIRECT(ADDRESS(ROW(),COLUMN()-1,4))</f>
        <v>168000</v>
      </c>
    </row>
    <row r="2491" spans="1:6" x14ac:dyDescent="0.25">
      <c r="A2491" s="8">
        <v>78111803</v>
      </c>
      <c r="B2491" s="9" t="str">
        <f ca="1">IFERROR(INDEX(UNSPSCDes,MATCH(INDIRECT(ADDRESS(ROW(),COLUMN()-1,4)),UNSPSCCode,0)),"")</f>
        <v>Servicios de buses contratados</v>
      </c>
      <c r="C2491" s="33" t="s">
        <v>55</v>
      </c>
      <c r="D2491" s="8">
        <v>20</v>
      </c>
      <c r="E2491" s="11">
        <v>28000</v>
      </c>
      <c r="F2491" s="10">
        <f ca="1">INDIRECT(ADDRESS(ROW(),COLUMN()-2,4))*INDIRECT(ADDRESS(ROW(),COLUMN()-1,4))</f>
        <v>560000</v>
      </c>
    </row>
    <row r="2492" spans="1:6" ht="22.5" x14ac:dyDescent="0.25">
      <c r="A2492" s="8">
        <v>78101802</v>
      </c>
      <c r="B2492" s="9" t="str">
        <f ca="1">IFERROR(INDEX(UNSPSCDes,MATCH(INDIRECT(ADDRESS(ROW(),COLUMN()-1,4)),UNSPSCCode,0)),"")</f>
        <v>Servicios transporte de carga por carretera (en camión) a nivel regional y nacional</v>
      </c>
      <c r="C2492" s="33" t="s">
        <v>55</v>
      </c>
      <c r="D2492" s="8">
        <v>20</v>
      </c>
      <c r="E2492" s="11">
        <v>35000</v>
      </c>
      <c r="F2492" s="10">
        <f ca="1">INDIRECT(ADDRESS(ROW(),COLUMN()-2,4))*INDIRECT(ADDRESS(ROW(),COLUMN()-1,4))</f>
        <v>700000</v>
      </c>
    </row>
    <row r="2493" spans="1:6" x14ac:dyDescent="0.25">
      <c r="A2493" s="40"/>
      <c r="B2493" s="40"/>
      <c r="C2493" s="40"/>
      <c r="D2493" s="40"/>
      <c r="E2493" s="13" t="s">
        <v>87</v>
      </c>
      <c r="F2493" s="14">
        <f ca="1">SUM(Table356[MONTO TOTAL ESTIMADO])</f>
        <v>1428000</v>
      </c>
    </row>
    <row r="2494" spans="1:6" ht="15.75" thickBot="1" x14ac:dyDescent="0.3">
      <c r="A2494" s="42"/>
      <c r="B2494" s="42"/>
      <c r="C2494" s="42"/>
      <c r="D2494" s="42"/>
      <c r="E2494" s="42"/>
      <c r="F2494" s="42"/>
    </row>
    <row r="2495" spans="1:6" ht="23.25" thickBot="1" x14ac:dyDescent="0.3">
      <c r="A2495" s="4" t="s">
        <v>19</v>
      </c>
      <c r="B2495" s="4" t="s">
        <v>20</v>
      </c>
      <c r="C2495" s="4" t="s">
        <v>21</v>
      </c>
      <c r="D2495" s="4" t="s">
        <v>22</v>
      </c>
      <c r="E2495" s="4" t="s">
        <v>23</v>
      </c>
      <c r="F2495" s="4" t="s">
        <v>24</v>
      </c>
    </row>
    <row r="2496" spans="1:6" ht="15.75" thickBot="1" x14ac:dyDescent="0.3">
      <c r="A2496" s="32" t="s">
        <v>270</v>
      </c>
      <c r="B2496" s="32" t="s">
        <v>271</v>
      </c>
      <c r="C2496" s="32" t="s">
        <v>129</v>
      </c>
      <c r="D2496" s="6" t="s">
        <v>28</v>
      </c>
      <c r="E2496" s="6" t="s">
        <v>262</v>
      </c>
      <c r="F2496" s="6"/>
    </row>
    <row r="2497" spans="1:6" ht="15.75" thickBot="1" x14ac:dyDescent="0.3">
      <c r="A2497" s="35" t="s">
        <v>31</v>
      </c>
      <c r="B2497" s="7" t="s">
        <v>32</v>
      </c>
      <c r="C2497" s="15">
        <v>45383</v>
      </c>
      <c r="D2497" s="35" t="s">
        <v>33</v>
      </c>
      <c r="E2497" s="7" t="s">
        <v>34</v>
      </c>
      <c r="F2497" s="6"/>
    </row>
    <row r="2498" spans="1:6" ht="15.75" thickBot="1" x14ac:dyDescent="0.3">
      <c r="A2498" s="36"/>
      <c r="B2498" s="7" t="s">
        <v>36</v>
      </c>
      <c r="C2498" s="5">
        <f>IF(C2497="","",IF(AND(MONTH(C2497)&gt;=1,MONTH(C2497)&lt;=3),1,IF(AND(MONTH(C2497)&gt;=4,MONTH(C2497)&lt;=6),2,IF(AND(MONTH(C2497)&gt;=7,MONTH(C2497)&lt;=9),3,4))))</f>
        <v>2</v>
      </c>
      <c r="D2498" s="36"/>
      <c r="E2498" s="7" t="s">
        <v>37</v>
      </c>
      <c r="F2498" s="6"/>
    </row>
    <row r="2499" spans="1:6" ht="15.75" thickBot="1" x14ac:dyDescent="0.3">
      <c r="A2499" s="36"/>
      <c r="B2499" s="7" t="s">
        <v>39</v>
      </c>
      <c r="C2499" s="15">
        <v>45473</v>
      </c>
      <c r="D2499" s="36"/>
      <c r="E2499" s="7" t="s">
        <v>40</v>
      </c>
      <c r="F2499" s="6"/>
    </row>
    <row r="2500" spans="1:6" ht="15.75" thickBot="1" x14ac:dyDescent="0.3">
      <c r="A2500" s="36"/>
      <c r="B2500" s="7" t="s">
        <v>36</v>
      </c>
      <c r="C2500" s="5">
        <f>IF(C2499="","",IF(AND(MONTH(C2499)&gt;=1,MONTH(C2499)&lt;=3),1,IF(AND(MONTH(C2499)&gt;=4,MONTH(C2499)&lt;=6),2,IF(AND(MONTH(C2499)&gt;=7,MONTH(C2499)&lt;=9),3,4))))</f>
        <v>2</v>
      </c>
      <c r="D2500" s="36"/>
      <c r="E2500" s="7" t="s">
        <v>41</v>
      </c>
      <c r="F2500" s="6"/>
    </row>
    <row r="2501" spans="1:6" ht="15.75" thickBot="1" x14ac:dyDescent="0.3">
      <c r="A2501" s="40"/>
      <c r="B2501" s="40"/>
      <c r="C2501" s="40"/>
      <c r="D2501" s="40"/>
      <c r="E2501" s="40"/>
      <c r="F2501" s="40"/>
    </row>
    <row r="2502" spans="1:6" ht="15.75" thickBot="1" x14ac:dyDescent="0.3">
      <c r="A2502" s="12" t="s">
        <v>42</v>
      </c>
      <c r="B2502" s="12" t="s">
        <v>43</v>
      </c>
      <c r="C2502" s="12" t="s">
        <v>44</v>
      </c>
      <c r="D2502" s="12" t="s">
        <v>45</v>
      </c>
      <c r="E2502" s="12" t="s">
        <v>46</v>
      </c>
      <c r="F2502" s="12" t="s">
        <v>47</v>
      </c>
    </row>
    <row r="2503" spans="1:6" x14ac:dyDescent="0.25">
      <c r="A2503" s="8">
        <v>72101508</v>
      </c>
      <c r="B2503" s="9" t="str">
        <f ca="1">IFERROR(INDEX(UNSPSCDes,MATCH(INDIRECT(ADDRESS(ROW(),COLUMN()-1,4)),UNSPSCCode,0)),"")</f>
        <v>Servicio de limpieza de pisos</v>
      </c>
      <c r="C2503" s="8" t="s">
        <v>55</v>
      </c>
      <c r="D2503" s="8">
        <v>1</v>
      </c>
      <c r="E2503" s="11">
        <v>185000</v>
      </c>
      <c r="F2503" s="10">
        <f ca="1">INDIRECT(ADDRESS(ROW(),COLUMN()-2,4))*INDIRECT(ADDRESS(ROW(),COLUMN()-1,4))</f>
        <v>185000</v>
      </c>
    </row>
    <row r="2504" spans="1:6" x14ac:dyDescent="0.25">
      <c r="A2504" s="8">
        <v>72101507</v>
      </c>
      <c r="B2504" s="9" t="str">
        <f ca="1">IFERROR(INDEX(UNSPSCDes,MATCH(INDIRECT(ADDRESS(ROW(),COLUMN()-1,4)),UNSPSCCode,0)),"")</f>
        <v>Servicio de mantenimiento de edificios</v>
      </c>
      <c r="C2504" s="33" t="s">
        <v>55</v>
      </c>
      <c r="D2504" s="8">
        <v>1</v>
      </c>
      <c r="E2504" s="11">
        <v>750000</v>
      </c>
      <c r="F2504" s="10">
        <f ca="1">INDIRECT(ADDRESS(ROW(),COLUMN()-2,4))*INDIRECT(ADDRESS(ROW(),COLUMN()-1,4))</f>
        <v>750000</v>
      </c>
    </row>
    <row r="2505" spans="1:6" x14ac:dyDescent="0.25">
      <c r="A2505" s="40"/>
      <c r="B2505" s="40"/>
      <c r="C2505" s="40"/>
      <c r="D2505" s="40"/>
      <c r="E2505" s="13" t="s">
        <v>87</v>
      </c>
      <c r="F2505" s="14">
        <f ca="1">SUM(Table357[MONTO TOTAL ESTIMADO])</f>
        <v>935000</v>
      </c>
    </row>
    <row r="2506" spans="1:6" ht="15.75" thickBot="1" x14ac:dyDescent="0.3">
      <c r="A2506" s="42"/>
      <c r="B2506" s="42"/>
      <c r="C2506" s="42"/>
      <c r="D2506" s="42"/>
      <c r="E2506" s="42"/>
      <c r="F2506" s="42"/>
    </row>
    <row r="2507" spans="1:6" ht="23.25" thickBot="1" x14ac:dyDescent="0.3">
      <c r="A2507" s="4" t="s">
        <v>19</v>
      </c>
      <c r="B2507" s="4" t="s">
        <v>20</v>
      </c>
      <c r="C2507" s="4" t="s">
        <v>21</v>
      </c>
      <c r="D2507" s="4" t="s">
        <v>22</v>
      </c>
      <c r="E2507" s="4" t="s">
        <v>23</v>
      </c>
      <c r="F2507" s="4" t="s">
        <v>24</v>
      </c>
    </row>
    <row r="2508" spans="1:6" ht="15.75" thickBot="1" x14ac:dyDescent="0.3">
      <c r="A2508" s="32" t="s">
        <v>274</v>
      </c>
      <c r="B2508" s="32" t="s">
        <v>275</v>
      </c>
      <c r="C2508" s="32" t="s">
        <v>129</v>
      </c>
      <c r="D2508" s="6" t="s">
        <v>28</v>
      </c>
      <c r="E2508" s="32" t="s">
        <v>29</v>
      </c>
      <c r="F2508" s="6"/>
    </row>
    <row r="2509" spans="1:6" ht="15.75" thickBot="1" x14ac:dyDescent="0.3">
      <c r="A2509" s="35" t="s">
        <v>31</v>
      </c>
      <c r="B2509" s="7" t="s">
        <v>32</v>
      </c>
      <c r="C2509" s="15">
        <v>45383</v>
      </c>
      <c r="D2509" s="35" t="s">
        <v>33</v>
      </c>
      <c r="E2509" s="7" t="s">
        <v>34</v>
      </c>
      <c r="F2509" s="6"/>
    </row>
    <row r="2510" spans="1:6" ht="15.75" thickBot="1" x14ac:dyDescent="0.3">
      <c r="A2510" s="36"/>
      <c r="B2510" s="7" t="s">
        <v>36</v>
      </c>
      <c r="C2510" s="5">
        <f>IF(C2509="","",IF(AND(MONTH(C2509)&gt;=1,MONTH(C2509)&lt;=3),1,IF(AND(MONTH(C2509)&gt;=4,MONTH(C2509)&lt;=6),2,IF(AND(MONTH(C2509)&gt;=7,MONTH(C2509)&lt;=9),3,4))))</f>
        <v>2</v>
      </c>
      <c r="D2510" s="36"/>
      <c r="E2510" s="7" t="s">
        <v>37</v>
      </c>
      <c r="F2510" s="6"/>
    </row>
    <row r="2511" spans="1:6" ht="15.75" thickBot="1" x14ac:dyDescent="0.3">
      <c r="A2511" s="36"/>
      <c r="B2511" s="7" t="s">
        <v>39</v>
      </c>
      <c r="C2511" s="15">
        <v>45473</v>
      </c>
      <c r="D2511" s="36"/>
      <c r="E2511" s="7" t="s">
        <v>40</v>
      </c>
      <c r="F2511" s="6"/>
    </row>
    <row r="2512" spans="1:6" ht="15.75" thickBot="1" x14ac:dyDescent="0.3">
      <c r="A2512" s="36"/>
      <c r="B2512" s="7" t="s">
        <v>36</v>
      </c>
      <c r="C2512" s="5">
        <f>IF(C2511="","",IF(AND(MONTH(C2511)&gt;=1,MONTH(C2511)&lt;=3),1,IF(AND(MONTH(C2511)&gt;=4,MONTH(C2511)&lt;=6),2,IF(AND(MONTH(C2511)&gt;=7,MONTH(C2511)&lt;=9),3,4))))</f>
        <v>2</v>
      </c>
      <c r="D2512" s="36"/>
      <c r="E2512" s="7" t="s">
        <v>41</v>
      </c>
      <c r="F2512" s="6"/>
    </row>
    <row r="2513" spans="1:6" ht="15.75" thickBot="1" x14ac:dyDescent="0.3">
      <c r="A2513" s="40"/>
      <c r="B2513" s="40"/>
      <c r="C2513" s="40"/>
      <c r="D2513" s="40"/>
      <c r="E2513" s="40"/>
      <c r="F2513" s="40"/>
    </row>
    <row r="2514" spans="1:6" ht="15.75" thickBot="1" x14ac:dyDescent="0.3">
      <c r="A2514" s="12" t="s">
        <v>42</v>
      </c>
      <c r="B2514" s="12" t="s">
        <v>43</v>
      </c>
      <c r="C2514" s="12" t="s">
        <v>44</v>
      </c>
      <c r="D2514" s="12" t="s">
        <v>45</v>
      </c>
      <c r="E2514" s="12" t="s">
        <v>46</v>
      </c>
      <c r="F2514" s="12" t="s">
        <v>47</v>
      </c>
    </row>
    <row r="2515" spans="1:6" x14ac:dyDescent="0.25">
      <c r="A2515" s="8">
        <v>78111803</v>
      </c>
      <c r="B2515" s="9" t="str">
        <f ca="1">IFERROR(INDEX(UNSPSCDes,MATCH(INDIRECT(ADDRESS(ROW(),COLUMN()-1,4)),UNSPSCCode,0)),"")</f>
        <v>Servicios de buses contratados</v>
      </c>
      <c r="C2515" s="8" t="s">
        <v>55</v>
      </c>
      <c r="D2515" s="8">
        <v>20</v>
      </c>
      <c r="E2515" s="11">
        <v>28000</v>
      </c>
      <c r="F2515" s="10">
        <f ca="1">INDIRECT(ADDRESS(ROW(),COLUMN()-2,4))*INDIRECT(ADDRESS(ROW(),COLUMN()-1,4))</f>
        <v>560000</v>
      </c>
    </row>
    <row r="2516" spans="1:6" x14ac:dyDescent="0.25">
      <c r="A2516" s="8">
        <v>78111803</v>
      </c>
      <c r="B2516" s="9" t="str">
        <f ca="1">IFERROR(INDEX(UNSPSCDes,MATCH(INDIRECT(ADDRESS(ROW(),COLUMN()-1,4)),UNSPSCCode,0)),"")</f>
        <v>Servicios de buses contratados</v>
      </c>
      <c r="C2516" s="33" t="s">
        <v>55</v>
      </c>
      <c r="D2516" s="8">
        <v>20</v>
      </c>
      <c r="E2516" s="11">
        <v>35000</v>
      </c>
      <c r="F2516" s="10">
        <f ca="1">INDIRECT(ADDRESS(ROW(),COLUMN()-2,4))*INDIRECT(ADDRESS(ROW(),COLUMN()-1,4))</f>
        <v>700000</v>
      </c>
    </row>
    <row r="2517" spans="1:6" x14ac:dyDescent="0.25">
      <c r="A2517" s="40"/>
      <c r="B2517" s="40"/>
      <c r="C2517" s="40"/>
      <c r="D2517" s="40"/>
      <c r="E2517" s="13" t="s">
        <v>87</v>
      </c>
      <c r="F2517" s="14">
        <f ca="1">SUM(Table358[MONTO TOTAL ESTIMADO])</f>
        <v>1260000</v>
      </c>
    </row>
    <row r="2518" spans="1:6" ht="15.75" thickBot="1" x14ac:dyDescent="0.3">
      <c r="A2518" s="42"/>
      <c r="B2518" s="42"/>
      <c r="C2518" s="42"/>
      <c r="D2518" s="42"/>
      <c r="E2518" s="42"/>
      <c r="F2518" s="42"/>
    </row>
    <row r="2519" spans="1:6" ht="23.25" thickBot="1" x14ac:dyDescent="0.3">
      <c r="A2519" s="4" t="s">
        <v>19</v>
      </c>
      <c r="B2519" s="4" t="s">
        <v>20</v>
      </c>
      <c r="C2519" s="4" t="s">
        <v>21</v>
      </c>
      <c r="D2519" s="4" t="s">
        <v>22</v>
      </c>
      <c r="E2519" s="4" t="s">
        <v>23</v>
      </c>
      <c r="F2519" s="4" t="s">
        <v>24</v>
      </c>
    </row>
    <row r="2520" spans="1:6" ht="15.75" thickBot="1" x14ac:dyDescent="0.3">
      <c r="A2520" s="32" t="s">
        <v>276</v>
      </c>
      <c r="B2520" s="32" t="s">
        <v>277</v>
      </c>
      <c r="C2520" s="32" t="s">
        <v>27</v>
      </c>
      <c r="D2520" s="6" t="s">
        <v>28</v>
      </c>
      <c r="E2520" s="6" t="s">
        <v>262</v>
      </c>
      <c r="F2520" s="6"/>
    </row>
    <row r="2521" spans="1:6" ht="15.75" thickBot="1" x14ac:dyDescent="0.3">
      <c r="A2521" s="35" t="s">
        <v>31</v>
      </c>
      <c r="B2521" s="7" t="s">
        <v>32</v>
      </c>
      <c r="C2521" s="15">
        <v>45383</v>
      </c>
      <c r="D2521" s="35" t="s">
        <v>33</v>
      </c>
      <c r="E2521" s="7" t="s">
        <v>34</v>
      </c>
      <c r="F2521" s="6"/>
    </row>
    <row r="2522" spans="1:6" ht="15.75" thickBot="1" x14ac:dyDescent="0.3">
      <c r="A2522" s="36"/>
      <c r="B2522" s="7" t="s">
        <v>36</v>
      </c>
      <c r="C2522" s="5">
        <f>IF(C2521="","",IF(AND(MONTH(C2521)&gt;=1,MONTH(C2521)&lt;=3),1,IF(AND(MONTH(C2521)&gt;=4,MONTH(C2521)&lt;=6),2,IF(AND(MONTH(C2521)&gt;=7,MONTH(C2521)&lt;=9),3,4))))</f>
        <v>2</v>
      </c>
      <c r="D2522" s="36"/>
      <c r="E2522" s="7" t="s">
        <v>37</v>
      </c>
      <c r="F2522" s="6"/>
    </row>
    <row r="2523" spans="1:6" ht="15.75" thickBot="1" x14ac:dyDescent="0.3">
      <c r="A2523" s="36"/>
      <c r="B2523" s="7" t="s">
        <v>39</v>
      </c>
      <c r="C2523" s="15">
        <v>45473</v>
      </c>
      <c r="D2523" s="36"/>
      <c r="E2523" s="7" t="s">
        <v>40</v>
      </c>
      <c r="F2523" s="6"/>
    </row>
    <row r="2524" spans="1:6" ht="15.75" thickBot="1" x14ac:dyDescent="0.3">
      <c r="A2524" s="36"/>
      <c r="B2524" s="7" t="s">
        <v>36</v>
      </c>
      <c r="C2524" s="5">
        <f>IF(C2523="","",IF(AND(MONTH(C2523)&gt;=1,MONTH(C2523)&lt;=3),1,IF(AND(MONTH(C2523)&gt;=4,MONTH(C2523)&lt;=6),2,IF(AND(MONTH(C2523)&gt;=7,MONTH(C2523)&lt;=9),3,4))))</f>
        <v>2</v>
      </c>
      <c r="D2524" s="36"/>
      <c r="E2524" s="7" t="s">
        <v>41</v>
      </c>
      <c r="F2524" s="6"/>
    </row>
    <row r="2525" spans="1:6" ht="15.75" thickBot="1" x14ac:dyDescent="0.3">
      <c r="A2525" s="40"/>
      <c r="B2525" s="40"/>
      <c r="C2525" s="40"/>
      <c r="D2525" s="40"/>
      <c r="E2525" s="40"/>
      <c r="F2525" s="40"/>
    </row>
    <row r="2526" spans="1:6" ht="15.75" thickBot="1" x14ac:dyDescent="0.3">
      <c r="A2526" s="12" t="s">
        <v>42</v>
      </c>
      <c r="B2526" s="12" t="s">
        <v>43</v>
      </c>
      <c r="C2526" s="12" t="s">
        <v>44</v>
      </c>
      <c r="D2526" s="12" t="s">
        <v>45</v>
      </c>
      <c r="E2526" s="12" t="s">
        <v>46</v>
      </c>
      <c r="F2526" s="12" t="s">
        <v>47</v>
      </c>
    </row>
    <row r="2527" spans="1:6" x14ac:dyDescent="0.25">
      <c r="A2527" s="8">
        <v>44112005</v>
      </c>
      <c r="B2527" s="9" t="str">
        <f ca="1">IFERROR(INDEX(UNSPSCDes,MATCH(INDIRECT(ADDRESS(ROW(),COLUMN()-1,4)),UNSPSCCode,0)),"")</f>
        <v>Libretas de citas o repuestos</v>
      </c>
      <c r="C2527" s="8" t="s">
        <v>55</v>
      </c>
      <c r="D2527" s="8">
        <v>500</v>
      </c>
      <c r="E2527" s="11">
        <v>770</v>
      </c>
      <c r="F2527" s="10">
        <f ca="1">INDIRECT(ADDRESS(ROW(),COLUMN()-2,4))*INDIRECT(ADDRESS(ROW(),COLUMN()-1,4))</f>
        <v>385000</v>
      </c>
    </row>
    <row r="2528" spans="1:6" x14ac:dyDescent="0.25">
      <c r="A2528" s="40"/>
      <c r="B2528" s="40"/>
      <c r="C2528" s="40"/>
      <c r="D2528" s="40"/>
      <c r="E2528" s="13" t="s">
        <v>87</v>
      </c>
      <c r="F2528" s="14">
        <f ca="1">SUM(Table359[MONTO TOTAL ESTIMADO])</f>
        <v>385000</v>
      </c>
    </row>
    <row r="2529" spans="1:6" ht="15.75" thickBot="1" x14ac:dyDescent="0.3">
      <c r="A2529" s="42"/>
      <c r="B2529" s="42"/>
      <c r="C2529" s="42"/>
      <c r="D2529" s="42"/>
      <c r="E2529" s="42"/>
      <c r="F2529" s="42"/>
    </row>
    <row r="2530" spans="1:6" ht="23.25" thickBot="1" x14ac:dyDescent="0.3">
      <c r="A2530" s="4" t="s">
        <v>19</v>
      </c>
      <c r="B2530" s="4" t="s">
        <v>20</v>
      </c>
      <c r="C2530" s="4" t="s">
        <v>21</v>
      </c>
      <c r="D2530" s="4" t="s">
        <v>22</v>
      </c>
      <c r="E2530" s="4" t="s">
        <v>23</v>
      </c>
      <c r="F2530" s="4" t="s">
        <v>24</v>
      </c>
    </row>
    <row r="2531" spans="1:6" ht="15.75" thickBot="1" x14ac:dyDescent="0.3">
      <c r="A2531" s="32" t="s">
        <v>278</v>
      </c>
      <c r="B2531" s="32" t="s">
        <v>279</v>
      </c>
      <c r="C2531" s="32" t="s">
        <v>27</v>
      </c>
      <c r="D2531" s="6" t="s">
        <v>28</v>
      </c>
      <c r="E2531" s="6" t="s">
        <v>262</v>
      </c>
      <c r="F2531" s="6"/>
    </row>
    <row r="2532" spans="1:6" ht="15.75" thickBot="1" x14ac:dyDescent="0.3">
      <c r="A2532" s="35" t="s">
        <v>31</v>
      </c>
      <c r="B2532" s="7" t="s">
        <v>32</v>
      </c>
      <c r="C2532" s="15">
        <v>45383</v>
      </c>
      <c r="D2532" s="35" t="s">
        <v>33</v>
      </c>
      <c r="E2532" s="7" t="s">
        <v>34</v>
      </c>
      <c r="F2532" s="6"/>
    </row>
    <row r="2533" spans="1:6" ht="15.75" thickBot="1" x14ac:dyDescent="0.3">
      <c r="A2533" s="36"/>
      <c r="B2533" s="7" t="s">
        <v>36</v>
      </c>
      <c r="C2533" s="5">
        <f>IF(C2532="","",IF(AND(MONTH(C2532)&gt;=1,MONTH(C2532)&lt;=3),1,IF(AND(MONTH(C2532)&gt;=4,MONTH(C2532)&lt;=6),2,IF(AND(MONTH(C2532)&gt;=7,MONTH(C2532)&lt;=9),3,4))))</f>
        <v>2</v>
      </c>
      <c r="D2533" s="36"/>
      <c r="E2533" s="7" t="s">
        <v>37</v>
      </c>
      <c r="F2533" s="6"/>
    </row>
    <row r="2534" spans="1:6" ht="15.75" thickBot="1" x14ac:dyDescent="0.3">
      <c r="A2534" s="36"/>
      <c r="B2534" s="7" t="s">
        <v>39</v>
      </c>
      <c r="C2534" s="15">
        <v>45473</v>
      </c>
      <c r="D2534" s="36"/>
      <c r="E2534" s="7" t="s">
        <v>40</v>
      </c>
      <c r="F2534" s="6"/>
    </row>
    <row r="2535" spans="1:6" ht="15.75" thickBot="1" x14ac:dyDescent="0.3">
      <c r="A2535" s="36"/>
      <c r="B2535" s="7" t="s">
        <v>36</v>
      </c>
      <c r="C2535" s="5">
        <f>IF(C2534="","",IF(AND(MONTH(C2534)&gt;=1,MONTH(C2534)&lt;=3),1,IF(AND(MONTH(C2534)&gt;=4,MONTH(C2534)&lt;=6),2,IF(AND(MONTH(C2534)&gt;=7,MONTH(C2534)&lt;=9),3,4))))</f>
        <v>2</v>
      </c>
      <c r="D2535" s="36"/>
      <c r="E2535" s="7" t="s">
        <v>41</v>
      </c>
      <c r="F2535" s="6"/>
    </row>
    <row r="2536" spans="1:6" ht="15.75" thickBot="1" x14ac:dyDescent="0.3">
      <c r="A2536" s="40"/>
      <c r="B2536" s="40"/>
      <c r="C2536" s="40"/>
      <c r="D2536" s="40"/>
      <c r="E2536" s="40"/>
      <c r="F2536" s="40"/>
    </row>
    <row r="2537" spans="1:6" ht="15.75" thickBot="1" x14ac:dyDescent="0.3">
      <c r="A2537" s="12" t="s">
        <v>42</v>
      </c>
      <c r="B2537" s="12" t="s">
        <v>43</v>
      </c>
      <c r="C2537" s="12" t="s">
        <v>44</v>
      </c>
      <c r="D2537" s="12" t="s">
        <v>45</v>
      </c>
      <c r="E2537" s="12" t="s">
        <v>46</v>
      </c>
      <c r="F2537" s="12" t="s">
        <v>47</v>
      </c>
    </row>
    <row r="2538" spans="1:6" x14ac:dyDescent="0.25">
      <c r="A2538" s="8">
        <v>56112102</v>
      </c>
      <c r="B2538" s="9" t="str">
        <f ca="1">IFERROR(INDEX(UNSPSCDes,MATCH(INDIRECT(ADDRESS(ROW(),COLUMN()-1,4)),UNSPSCCode,0)),"")</f>
        <v>Sillas para grupos de trabajo</v>
      </c>
      <c r="C2538" s="8" t="s">
        <v>55</v>
      </c>
      <c r="D2538" s="8">
        <v>500</v>
      </c>
      <c r="E2538" s="11">
        <v>360</v>
      </c>
      <c r="F2538" s="10">
        <f ca="1">INDIRECT(ADDRESS(ROW(),COLUMN()-2,4))*INDIRECT(ADDRESS(ROW(),COLUMN()-1,4))</f>
        <v>180000</v>
      </c>
    </row>
    <row r="2539" spans="1:6" x14ac:dyDescent="0.25">
      <c r="A2539" s="8">
        <v>56101519</v>
      </c>
      <c r="B2539" s="9" t="str">
        <f ca="1">IFERROR(INDEX(UNSPSCDes,MATCH(INDIRECT(ADDRESS(ROW(),COLUMN()-1,4)),UNSPSCCode,0)),"")</f>
        <v>Mesas</v>
      </c>
      <c r="C2539" s="33" t="s">
        <v>55</v>
      </c>
      <c r="D2539" s="8">
        <v>30</v>
      </c>
      <c r="E2539" s="11">
        <v>5800</v>
      </c>
      <c r="F2539" s="10">
        <f ca="1">INDIRECT(ADDRESS(ROW(),COLUMN()-2,4))*INDIRECT(ADDRESS(ROW(),COLUMN()-1,4))</f>
        <v>174000</v>
      </c>
    </row>
    <row r="2540" spans="1:6" x14ac:dyDescent="0.25">
      <c r="A2540" s="40"/>
      <c r="B2540" s="40"/>
      <c r="C2540" s="40"/>
      <c r="D2540" s="40"/>
      <c r="E2540" s="13" t="s">
        <v>87</v>
      </c>
      <c r="F2540" s="14">
        <f ca="1">SUM(Table360[MONTO TOTAL ESTIMADO])</f>
        <v>354000</v>
      </c>
    </row>
    <row r="2541" spans="1:6" ht="15.75" thickBot="1" x14ac:dyDescent="0.3">
      <c r="A2541" s="42"/>
      <c r="B2541" s="42"/>
      <c r="C2541" s="42"/>
      <c r="D2541" s="42"/>
      <c r="E2541" s="42"/>
      <c r="F2541" s="42"/>
    </row>
    <row r="2542" spans="1:6" ht="23.25" thickBot="1" x14ac:dyDescent="0.3">
      <c r="A2542" s="4" t="s">
        <v>19</v>
      </c>
      <c r="B2542" s="4" t="s">
        <v>20</v>
      </c>
      <c r="C2542" s="4" t="s">
        <v>21</v>
      </c>
      <c r="D2542" s="4" t="s">
        <v>22</v>
      </c>
      <c r="E2542" s="4" t="s">
        <v>23</v>
      </c>
      <c r="F2542" s="4" t="s">
        <v>24</v>
      </c>
    </row>
    <row r="2543" spans="1:6" ht="15.75" thickBot="1" x14ac:dyDescent="0.3">
      <c r="A2543" s="32" t="s">
        <v>282</v>
      </c>
      <c r="B2543" s="32" t="s">
        <v>283</v>
      </c>
      <c r="C2543" s="6" t="s">
        <v>27</v>
      </c>
      <c r="D2543" s="6" t="s">
        <v>28</v>
      </c>
      <c r="E2543" s="6" t="s">
        <v>262</v>
      </c>
      <c r="F2543" s="6"/>
    </row>
    <row r="2544" spans="1:6" ht="15.75" thickBot="1" x14ac:dyDescent="0.3">
      <c r="A2544" s="35" t="s">
        <v>31</v>
      </c>
      <c r="B2544" s="7" t="s">
        <v>32</v>
      </c>
      <c r="C2544" s="15">
        <v>45383</v>
      </c>
      <c r="D2544" s="35" t="s">
        <v>33</v>
      </c>
      <c r="E2544" s="7" t="s">
        <v>34</v>
      </c>
      <c r="F2544" s="6"/>
    </row>
    <row r="2545" spans="1:6" ht="15.75" thickBot="1" x14ac:dyDescent="0.3">
      <c r="A2545" s="36"/>
      <c r="B2545" s="7" t="s">
        <v>36</v>
      </c>
      <c r="C2545" s="5">
        <f>IF(C2544="","",IF(AND(MONTH(C2544)&gt;=1,MONTH(C2544)&lt;=3),1,IF(AND(MONTH(C2544)&gt;=4,MONTH(C2544)&lt;=6),2,IF(AND(MONTH(C2544)&gt;=7,MONTH(C2544)&lt;=9),3,4))))</f>
        <v>2</v>
      </c>
      <c r="D2545" s="36"/>
      <c r="E2545" s="7" t="s">
        <v>37</v>
      </c>
      <c r="F2545" s="6"/>
    </row>
    <row r="2546" spans="1:6" ht="15.75" thickBot="1" x14ac:dyDescent="0.3">
      <c r="A2546" s="36"/>
      <c r="B2546" s="7" t="s">
        <v>39</v>
      </c>
      <c r="C2546" s="15">
        <v>45473</v>
      </c>
      <c r="D2546" s="36"/>
      <c r="E2546" s="7" t="s">
        <v>40</v>
      </c>
      <c r="F2546" s="6"/>
    </row>
    <row r="2547" spans="1:6" ht="15.75" thickBot="1" x14ac:dyDescent="0.3">
      <c r="A2547" s="36"/>
      <c r="B2547" s="7" t="s">
        <v>36</v>
      </c>
      <c r="C2547" s="5">
        <f>IF(C2546="","",IF(AND(MONTH(C2546)&gt;=1,MONTH(C2546)&lt;=3),1,IF(AND(MONTH(C2546)&gt;=4,MONTH(C2546)&lt;=6),2,IF(AND(MONTH(C2546)&gt;=7,MONTH(C2546)&lt;=9),3,4))))</f>
        <v>2</v>
      </c>
      <c r="D2547" s="36"/>
      <c r="E2547" s="7" t="s">
        <v>41</v>
      </c>
      <c r="F2547" s="6"/>
    </row>
    <row r="2548" spans="1:6" ht="15.75" thickBot="1" x14ac:dyDescent="0.3">
      <c r="A2548" s="40"/>
      <c r="B2548" s="40"/>
      <c r="C2548" s="40"/>
      <c r="D2548" s="40"/>
      <c r="E2548" s="40"/>
      <c r="F2548" s="40"/>
    </row>
    <row r="2549" spans="1:6" ht="15.75" thickBot="1" x14ac:dyDescent="0.3">
      <c r="A2549" s="12" t="s">
        <v>42</v>
      </c>
      <c r="B2549" s="12" t="s">
        <v>43</v>
      </c>
      <c r="C2549" s="12" t="s">
        <v>44</v>
      </c>
      <c r="D2549" s="12" t="s">
        <v>45</v>
      </c>
      <c r="E2549" s="12" t="s">
        <v>46</v>
      </c>
      <c r="F2549" s="12" t="s">
        <v>47</v>
      </c>
    </row>
    <row r="2550" spans="1:6" x14ac:dyDescent="0.25">
      <c r="A2550" s="8">
        <v>56101703</v>
      </c>
      <c r="B2550" s="9" t="str">
        <f t="shared" ref="B2550:B2556" ca="1" si="5">IFERROR(INDEX(UNSPSCDes,MATCH(INDIRECT(ADDRESS(ROW(),COLUMN()-1,4)),UNSPSCCode,0)),"")</f>
        <v>Escritorios</v>
      </c>
      <c r="C2550" s="8" t="s">
        <v>55</v>
      </c>
      <c r="D2550" s="8">
        <v>1</v>
      </c>
      <c r="E2550" s="11">
        <v>850000</v>
      </c>
      <c r="F2550" s="10">
        <f t="shared" ref="F2550:F2556" ca="1" si="6">INDIRECT(ADDRESS(ROW(),COLUMN()-2,4))*INDIRECT(ADDRESS(ROW(),COLUMN()-1,4))</f>
        <v>850000</v>
      </c>
    </row>
    <row r="2551" spans="1:6" x14ac:dyDescent="0.25">
      <c r="A2551" s="8">
        <v>56101702</v>
      </c>
      <c r="B2551" s="9" t="str">
        <f t="shared" ca="1" si="5"/>
        <v>Gabinetes de archivo o accesorios</v>
      </c>
      <c r="C2551" s="33" t="s">
        <v>55</v>
      </c>
      <c r="D2551" s="8">
        <v>6</v>
      </c>
      <c r="E2551" s="11">
        <v>9800</v>
      </c>
      <c r="F2551" s="10">
        <f t="shared" ca="1" si="6"/>
        <v>58800</v>
      </c>
    </row>
    <row r="2552" spans="1:6" x14ac:dyDescent="0.25">
      <c r="A2552" s="8">
        <v>56101702</v>
      </c>
      <c r="B2552" s="9" t="str">
        <f t="shared" ca="1" si="5"/>
        <v>Gabinetes de archivo o accesorios</v>
      </c>
      <c r="C2552" s="33" t="s">
        <v>55</v>
      </c>
      <c r="D2552" s="8">
        <v>6</v>
      </c>
      <c r="E2552" s="11">
        <v>7800</v>
      </c>
      <c r="F2552" s="10">
        <f t="shared" ca="1" si="6"/>
        <v>46800</v>
      </c>
    </row>
    <row r="2553" spans="1:6" x14ac:dyDescent="0.25">
      <c r="A2553" s="8">
        <v>56101703</v>
      </c>
      <c r="B2553" s="9" t="str">
        <f t="shared" ca="1" si="5"/>
        <v>Escritorios</v>
      </c>
      <c r="C2553" s="33" t="s">
        <v>55</v>
      </c>
      <c r="D2553" s="8">
        <v>1</v>
      </c>
      <c r="E2553" s="11">
        <v>18500</v>
      </c>
      <c r="F2553" s="10">
        <f t="shared" ca="1" si="6"/>
        <v>18500</v>
      </c>
    </row>
    <row r="2554" spans="1:6" x14ac:dyDescent="0.25">
      <c r="A2554" s="8">
        <v>56101703</v>
      </c>
      <c r="B2554" s="9" t="str">
        <f t="shared" ca="1" si="5"/>
        <v>Escritorios</v>
      </c>
      <c r="C2554" s="33" t="s">
        <v>55</v>
      </c>
      <c r="D2554" s="8">
        <v>1</v>
      </c>
      <c r="E2554" s="11">
        <v>14600</v>
      </c>
      <c r="F2554" s="10">
        <f t="shared" ca="1" si="6"/>
        <v>14600</v>
      </c>
    </row>
    <row r="2555" spans="1:6" x14ac:dyDescent="0.25">
      <c r="A2555" s="8">
        <v>56112104</v>
      </c>
      <c r="B2555" s="9" t="str">
        <f t="shared" ca="1" si="5"/>
        <v>Sillas para ejecutivos</v>
      </c>
      <c r="C2555" s="33" t="s">
        <v>55</v>
      </c>
      <c r="D2555" s="8">
        <v>1</v>
      </c>
      <c r="E2555" s="11">
        <v>22600</v>
      </c>
      <c r="F2555" s="10">
        <f t="shared" ca="1" si="6"/>
        <v>22600</v>
      </c>
    </row>
    <row r="2556" spans="1:6" x14ac:dyDescent="0.25">
      <c r="A2556" s="8">
        <v>56112103</v>
      </c>
      <c r="B2556" s="9" t="str">
        <f t="shared" ca="1" si="5"/>
        <v>Sillas para visitantes</v>
      </c>
      <c r="C2556" s="33" t="s">
        <v>55</v>
      </c>
      <c r="D2556" s="8">
        <v>7</v>
      </c>
      <c r="E2556" s="11">
        <v>18900</v>
      </c>
      <c r="F2556" s="10">
        <f t="shared" ca="1" si="6"/>
        <v>132300</v>
      </c>
    </row>
    <row r="2557" spans="1:6" x14ac:dyDescent="0.25">
      <c r="A2557" s="40"/>
      <c r="B2557" s="40"/>
      <c r="C2557" s="40"/>
      <c r="D2557" s="40"/>
      <c r="E2557" s="13" t="s">
        <v>87</v>
      </c>
      <c r="F2557" s="14">
        <f ca="1">SUM(Table361[MONTO TOTAL ESTIMADO])</f>
        <v>1143600</v>
      </c>
    </row>
    <row r="2558" spans="1:6" ht="15.75" thickBot="1" x14ac:dyDescent="0.3">
      <c r="A2558" s="42"/>
      <c r="B2558" s="42"/>
      <c r="C2558" s="42"/>
      <c r="D2558" s="42"/>
      <c r="E2558" s="42"/>
      <c r="F2558" s="42"/>
    </row>
    <row r="2559" spans="1:6" ht="23.25" thickBot="1" x14ac:dyDescent="0.3">
      <c r="A2559" s="4" t="s">
        <v>19</v>
      </c>
      <c r="B2559" s="4" t="s">
        <v>20</v>
      </c>
      <c r="C2559" s="4" t="s">
        <v>21</v>
      </c>
      <c r="D2559" s="4" t="s">
        <v>22</v>
      </c>
      <c r="E2559" s="4" t="s">
        <v>23</v>
      </c>
      <c r="F2559" s="4" t="s">
        <v>24</v>
      </c>
    </row>
    <row r="2560" spans="1:6" ht="15.75" thickBot="1" x14ac:dyDescent="0.3">
      <c r="A2560" s="32" t="s">
        <v>288</v>
      </c>
      <c r="B2560" s="32" t="s">
        <v>289</v>
      </c>
      <c r="C2560" s="32" t="s">
        <v>27</v>
      </c>
      <c r="D2560" s="6" t="s">
        <v>28</v>
      </c>
      <c r="E2560" s="6" t="s">
        <v>262</v>
      </c>
      <c r="F2560" s="6"/>
    </row>
    <row r="2561" spans="1:6" ht="15.75" thickBot="1" x14ac:dyDescent="0.3">
      <c r="A2561" s="35" t="s">
        <v>31</v>
      </c>
      <c r="B2561" s="7" t="s">
        <v>32</v>
      </c>
      <c r="C2561" s="15">
        <v>45383</v>
      </c>
      <c r="D2561" s="35" t="s">
        <v>33</v>
      </c>
      <c r="E2561" s="7" t="s">
        <v>34</v>
      </c>
      <c r="F2561" s="6"/>
    </row>
    <row r="2562" spans="1:6" ht="15.75" thickBot="1" x14ac:dyDescent="0.3">
      <c r="A2562" s="36"/>
      <c r="B2562" s="7" t="s">
        <v>36</v>
      </c>
      <c r="C2562" s="5">
        <f>IF(C2561="","",IF(AND(MONTH(C2561)&gt;=1,MONTH(C2561)&lt;=3),1,IF(AND(MONTH(C2561)&gt;=4,MONTH(C2561)&lt;=6),2,IF(AND(MONTH(C2561)&gt;=7,MONTH(C2561)&lt;=9),3,4))))</f>
        <v>2</v>
      </c>
      <c r="D2562" s="36"/>
      <c r="E2562" s="7" t="s">
        <v>37</v>
      </c>
      <c r="F2562" s="6"/>
    </row>
    <row r="2563" spans="1:6" ht="15.75" thickBot="1" x14ac:dyDescent="0.3">
      <c r="A2563" s="36"/>
      <c r="B2563" s="7" t="s">
        <v>39</v>
      </c>
      <c r="C2563" s="15">
        <v>45473</v>
      </c>
      <c r="D2563" s="36"/>
      <c r="E2563" s="7" t="s">
        <v>40</v>
      </c>
      <c r="F2563" s="6"/>
    </row>
    <row r="2564" spans="1:6" ht="15.75" thickBot="1" x14ac:dyDescent="0.3">
      <c r="A2564" s="36"/>
      <c r="B2564" s="7" t="s">
        <v>36</v>
      </c>
      <c r="C2564" s="5">
        <f>IF(C2563="","",IF(AND(MONTH(C2563)&gt;=1,MONTH(C2563)&lt;=3),1,IF(AND(MONTH(C2563)&gt;=4,MONTH(C2563)&lt;=6),2,IF(AND(MONTH(C2563)&gt;=7,MONTH(C2563)&lt;=9),3,4))))</f>
        <v>2</v>
      </c>
      <c r="D2564" s="36"/>
      <c r="E2564" s="7" t="s">
        <v>41</v>
      </c>
      <c r="F2564" s="6"/>
    </row>
    <row r="2565" spans="1:6" ht="15.75" thickBot="1" x14ac:dyDescent="0.3">
      <c r="A2565" s="40"/>
      <c r="B2565" s="40"/>
      <c r="C2565" s="40"/>
      <c r="D2565" s="40"/>
      <c r="E2565" s="40"/>
      <c r="F2565" s="40"/>
    </row>
    <row r="2566" spans="1:6" ht="15.75" thickBot="1" x14ac:dyDescent="0.3">
      <c r="A2566" s="12" t="s">
        <v>42</v>
      </c>
      <c r="B2566" s="12" t="s">
        <v>43</v>
      </c>
      <c r="C2566" s="12" t="s">
        <v>44</v>
      </c>
      <c r="D2566" s="12" t="s">
        <v>45</v>
      </c>
      <c r="E2566" s="12" t="s">
        <v>46</v>
      </c>
      <c r="F2566" s="12" t="s">
        <v>47</v>
      </c>
    </row>
    <row r="2567" spans="1:6" ht="22.5" x14ac:dyDescent="0.25">
      <c r="A2567" s="8">
        <v>42171917</v>
      </c>
      <c r="B2567" s="9" t="str">
        <f ca="1">IFERROR(INDEX(UNSPSCDes,MATCH(INDIRECT(ADDRESS(ROW(),COLUMN()-1,4)),UNSPSCCode,0)),"")</f>
        <v>Estuches o bolsas o accesorios de primeros auxilios para servicios médicos de emergencia</v>
      </c>
      <c r="C2567" s="8" t="s">
        <v>55</v>
      </c>
      <c r="D2567" s="8">
        <v>1400</v>
      </c>
      <c r="E2567" s="11">
        <v>1000</v>
      </c>
      <c r="F2567" s="10">
        <f ca="1">INDIRECT(ADDRESS(ROW(),COLUMN()-2,4))*INDIRECT(ADDRESS(ROW(),COLUMN()-1,4))</f>
        <v>1400000</v>
      </c>
    </row>
    <row r="2568" spans="1:6" x14ac:dyDescent="0.25">
      <c r="A2568" s="40"/>
      <c r="B2568" s="40"/>
      <c r="C2568" s="40"/>
      <c r="D2568" s="40"/>
      <c r="E2568" s="13" t="s">
        <v>87</v>
      </c>
      <c r="F2568" s="14">
        <f ca="1">SUM(Table362[MONTO TOTAL ESTIMADO])</f>
        <v>1400000</v>
      </c>
    </row>
    <row r="2569" spans="1:6" ht="15.75" thickBot="1" x14ac:dyDescent="0.3">
      <c r="A2569" s="42"/>
      <c r="B2569" s="42"/>
      <c r="C2569" s="42"/>
      <c r="D2569" s="42"/>
      <c r="E2569" s="42"/>
      <c r="F2569" s="42"/>
    </row>
    <row r="2570" spans="1:6" ht="23.25" thickBot="1" x14ac:dyDescent="0.3">
      <c r="A2570" s="4" t="s">
        <v>19</v>
      </c>
      <c r="B2570" s="4" t="s">
        <v>20</v>
      </c>
      <c r="C2570" s="4" t="s">
        <v>21</v>
      </c>
      <c r="D2570" s="4" t="s">
        <v>22</v>
      </c>
      <c r="E2570" s="4" t="s">
        <v>23</v>
      </c>
      <c r="F2570" s="4" t="s">
        <v>24</v>
      </c>
    </row>
    <row r="2571" spans="1:6" ht="15.75" thickBot="1" x14ac:dyDescent="0.3">
      <c r="A2571" s="32" t="s">
        <v>288</v>
      </c>
      <c r="B2571" s="32" t="s">
        <v>289</v>
      </c>
      <c r="C2571" s="32" t="s">
        <v>27</v>
      </c>
      <c r="D2571" s="6" t="s">
        <v>28</v>
      </c>
      <c r="E2571" s="32" t="s">
        <v>29</v>
      </c>
      <c r="F2571" s="6"/>
    </row>
    <row r="2572" spans="1:6" ht="15.75" thickBot="1" x14ac:dyDescent="0.3">
      <c r="A2572" s="35" t="s">
        <v>31</v>
      </c>
      <c r="B2572" s="7" t="s">
        <v>32</v>
      </c>
      <c r="C2572" s="15">
        <v>45383</v>
      </c>
      <c r="D2572" s="35" t="s">
        <v>33</v>
      </c>
      <c r="E2572" s="7" t="s">
        <v>34</v>
      </c>
      <c r="F2572" s="6"/>
    </row>
    <row r="2573" spans="1:6" ht="15.75" thickBot="1" x14ac:dyDescent="0.3">
      <c r="A2573" s="36"/>
      <c r="B2573" s="7" t="s">
        <v>36</v>
      </c>
      <c r="C2573" s="5">
        <f>IF(C2572="","",IF(AND(MONTH(C2572)&gt;=1,MONTH(C2572)&lt;=3),1,IF(AND(MONTH(C2572)&gt;=4,MONTH(C2572)&lt;=6),2,IF(AND(MONTH(C2572)&gt;=7,MONTH(C2572)&lt;=9),3,4))))</f>
        <v>2</v>
      </c>
      <c r="D2573" s="36"/>
      <c r="E2573" s="7" t="s">
        <v>37</v>
      </c>
      <c r="F2573" s="6"/>
    </row>
    <row r="2574" spans="1:6" ht="15.75" thickBot="1" x14ac:dyDescent="0.3">
      <c r="A2574" s="36"/>
      <c r="B2574" s="7" t="s">
        <v>39</v>
      </c>
      <c r="C2574" s="15">
        <v>45473</v>
      </c>
      <c r="D2574" s="36"/>
      <c r="E2574" s="7" t="s">
        <v>40</v>
      </c>
      <c r="F2574" s="6"/>
    </row>
    <row r="2575" spans="1:6" ht="15.75" thickBot="1" x14ac:dyDescent="0.3">
      <c r="A2575" s="36"/>
      <c r="B2575" s="7" t="s">
        <v>36</v>
      </c>
      <c r="C2575" s="5">
        <f>IF(C2574="","",IF(AND(MONTH(C2574)&gt;=1,MONTH(C2574)&lt;=3),1,IF(AND(MONTH(C2574)&gt;=4,MONTH(C2574)&lt;=6),2,IF(AND(MONTH(C2574)&gt;=7,MONTH(C2574)&lt;=9),3,4))))</f>
        <v>2</v>
      </c>
      <c r="D2575" s="36"/>
      <c r="E2575" s="7" t="s">
        <v>41</v>
      </c>
      <c r="F2575" s="6"/>
    </row>
    <row r="2576" spans="1:6" ht="15.75" thickBot="1" x14ac:dyDescent="0.3">
      <c r="A2576" s="40"/>
      <c r="B2576" s="40"/>
      <c r="C2576" s="40"/>
      <c r="D2576" s="40"/>
      <c r="E2576" s="40"/>
      <c r="F2576" s="40"/>
    </row>
    <row r="2577" spans="1:6" ht="15.75" thickBot="1" x14ac:dyDescent="0.3">
      <c r="A2577" s="12" t="s">
        <v>42</v>
      </c>
      <c r="B2577" s="12" t="s">
        <v>43</v>
      </c>
      <c r="C2577" s="12" t="s">
        <v>44</v>
      </c>
      <c r="D2577" s="12" t="s">
        <v>45</v>
      </c>
      <c r="E2577" s="12" t="s">
        <v>46</v>
      </c>
      <c r="F2577" s="12" t="s">
        <v>47</v>
      </c>
    </row>
    <row r="2578" spans="1:6" ht="22.5" x14ac:dyDescent="0.25">
      <c r="A2578" s="8">
        <v>42171917</v>
      </c>
      <c r="B2578" s="9" t="str">
        <f ca="1">IFERROR(INDEX(UNSPSCDes,MATCH(INDIRECT(ADDRESS(ROW(),COLUMN()-1,4)),UNSPSCCode,0)),"")</f>
        <v>Estuches o bolsas o accesorios de primeros auxilios para servicios médicos de emergencia</v>
      </c>
      <c r="C2578" s="33" t="s">
        <v>55</v>
      </c>
      <c r="D2578" s="8">
        <v>1400</v>
      </c>
      <c r="E2578" s="11">
        <v>1000</v>
      </c>
      <c r="F2578" s="10">
        <f ca="1">INDIRECT(ADDRESS(ROW(),COLUMN()-2,4))*INDIRECT(ADDRESS(ROW(),COLUMN()-1,4))</f>
        <v>1400000</v>
      </c>
    </row>
    <row r="2579" spans="1:6" x14ac:dyDescent="0.25">
      <c r="A2579" s="40"/>
      <c r="B2579" s="40"/>
      <c r="C2579" s="40"/>
      <c r="D2579" s="40"/>
      <c r="E2579" s="13" t="s">
        <v>87</v>
      </c>
      <c r="F2579" s="14">
        <f ca="1">SUM(Table363[MONTO TOTAL ESTIMADO])</f>
        <v>1400000</v>
      </c>
    </row>
    <row r="2580" spans="1:6" ht="15.75" thickBot="1" x14ac:dyDescent="0.3">
      <c r="A2580" s="42"/>
      <c r="B2580" s="42"/>
      <c r="C2580" s="42"/>
      <c r="D2580" s="42"/>
      <c r="E2580" s="42"/>
      <c r="F2580" s="42"/>
    </row>
    <row r="2581" spans="1:6" ht="23.25" thickBot="1" x14ac:dyDescent="0.3">
      <c r="A2581" s="4" t="s">
        <v>19</v>
      </c>
      <c r="B2581" s="4" t="s">
        <v>20</v>
      </c>
      <c r="C2581" s="4" t="s">
        <v>21</v>
      </c>
      <c r="D2581" s="4" t="s">
        <v>22</v>
      </c>
      <c r="E2581" s="4" t="s">
        <v>23</v>
      </c>
      <c r="F2581" s="4" t="s">
        <v>24</v>
      </c>
    </row>
    <row r="2582" spans="1:6" ht="15.75" thickBot="1" x14ac:dyDescent="0.3">
      <c r="A2582" s="32" t="s">
        <v>288</v>
      </c>
      <c r="B2582" s="32" t="s">
        <v>289</v>
      </c>
      <c r="C2582" s="6" t="s">
        <v>27</v>
      </c>
      <c r="D2582" s="6" t="s">
        <v>28</v>
      </c>
      <c r="E2582" s="32" t="s">
        <v>29</v>
      </c>
      <c r="F2582" s="6"/>
    </row>
    <row r="2583" spans="1:6" ht="15.75" thickBot="1" x14ac:dyDescent="0.3">
      <c r="A2583" s="35" t="s">
        <v>31</v>
      </c>
      <c r="B2583" s="7" t="s">
        <v>32</v>
      </c>
      <c r="C2583" s="15">
        <v>45383</v>
      </c>
      <c r="D2583" s="35" t="s">
        <v>33</v>
      </c>
      <c r="E2583" s="7" t="s">
        <v>34</v>
      </c>
      <c r="F2583" s="6"/>
    </row>
    <row r="2584" spans="1:6" ht="15.75" thickBot="1" x14ac:dyDescent="0.3">
      <c r="A2584" s="36"/>
      <c r="B2584" s="7" t="s">
        <v>36</v>
      </c>
      <c r="C2584" s="5">
        <f>IF(C2583="","",IF(AND(MONTH(C2583)&gt;=1,MONTH(C2583)&lt;=3),1,IF(AND(MONTH(C2583)&gt;=4,MONTH(C2583)&lt;=6),2,IF(AND(MONTH(C2583)&gt;=7,MONTH(C2583)&lt;=9),3,4))))</f>
        <v>2</v>
      </c>
      <c r="D2584" s="36"/>
      <c r="E2584" s="7" t="s">
        <v>37</v>
      </c>
      <c r="F2584" s="6"/>
    </row>
    <row r="2585" spans="1:6" ht="15.75" thickBot="1" x14ac:dyDescent="0.3">
      <c r="A2585" s="36"/>
      <c r="B2585" s="7" t="s">
        <v>39</v>
      </c>
      <c r="C2585" s="15">
        <v>45473</v>
      </c>
      <c r="D2585" s="36"/>
      <c r="E2585" s="7" t="s">
        <v>40</v>
      </c>
      <c r="F2585" s="6"/>
    </row>
    <row r="2586" spans="1:6" ht="15.75" thickBot="1" x14ac:dyDescent="0.3">
      <c r="A2586" s="36"/>
      <c r="B2586" s="7" t="s">
        <v>36</v>
      </c>
      <c r="C2586" s="5">
        <f>IF(C2585="","",IF(AND(MONTH(C2585)&gt;=1,MONTH(C2585)&lt;=3),1,IF(AND(MONTH(C2585)&gt;=4,MONTH(C2585)&lt;=6),2,IF(AND(MONTH(C2585)&gt;=7,MONTH(C2585)&lt;=9),3,4))))</f>
        <v>2</v>
      </c>
      <c r="D2586" s="36"/>
      <c r="E2586" s="7" t="s">
        <v>41</v>
      </c>
      <c r="F2586" s="6"/>
    </row>
    <row r="2587" spans="1:6" ht="15.75" thickBot="1" x14ac:dyDescent="0.3">
      <c r="A2587" s="40"/>
      <c r="B2587" s="40"/>
      <c r="C2587" s="40"/>
      <c r="D2587" s="40"/>
      <c r="E2587" s="40"/>
      <c r="F2587" s="40"/>
    </row>
    <row r="2588" spans="1:6" ht="15.75" thickBot="1" x14ac:dyDescent="0.3">
      <c r="A2588" s="12" t="s">
        <v>42</v>
      </c>
      <c r="B2588" s="12" t="s">
        <v>43</v>
      </c>
      <c r="C2588" s="12" t="s">
        <v>44</v>
      </c>
      <c r="D2588" s="12" t="s">
        <v>45</v>
      </c>
      <c r="E2588" s="12" t="s">
        <v>46</v>
      </c>
      <c r="F2588" s="12" t="s">
        <v>47</v>
      </c>
    </row>
    <row r="2589" spans="1:6" ht="22.5" x14ac:dyDescent="0.25">
      <c r="A2589" s="8">
        <v>42171917</v>
      </c>
      <c r="B2589" s="9" t="str">
        <f ca="1">IFERROR(INDEX(UNSPSCDes,MATCH(INDIRECT(ADDRESS(ROW(),COLUMN()-1,4)),UNSPSCCode,0)),"")</f>
        <v>Estuches o bolsas o accesorios de primeros auxilios para servicios médicos de emergencia</v>
      </c>
      <c r="C2589" s="33" t="s">
        <v>55</v>
      </c>
      <c r="D2589" s="8">
        <v>1400</v>
      </c>
      <c r="E2589" s="11">
        <v>1000</v>
      </c>
      <c r="F2589" s="10">
        <f ca="1">INDIRECT(ADDRESS(ROW(),COLUMN()-2,4))*INDIRECT(ADDRESS(ROW(),COLUMN()-1,4))</f>
        <v>1400000</v>
      </c>
    </row>
    <row r="2590" spans="1:6" x14ac:dyDescent="0.25">
      <c r="A2590" s="40"/>
      <c r="B2590" s="40"/>
      <c r="C2590" s="40"/>
      <c r="D2590" s="40"/>
      <c r="E2590" s="13" t="s">
        <v>87</v>
      </c>
      <c r="F2590" s="14">
        <f ca="1">SUM(Table364[MONTO TOTAL ESTIMADO])</f>
        <v>1400000</v>
      </c>
    </row>
    <row r="2591" spans="1:6" ht="15.75" thickBot="1" x14ac:dyDescent="0.3">
      <c r="A2591" s="42"/>
      <c r="B2591" s="42"/>
      <c r="C2591" s="42"/>
      <c r="D2591" s="42"/>
      <c r="E2591" s="42"/>
      <c r="F2591" s="42"/>
    </row>
    <row r="2592" spans="1:6" ht="23.25" thickBot="1" x14ac:dyDescent="0.3">
      <c r="A2592" s="4" t="s">
        <v>19</v>
      </c>
      <c r="B2592" s="4" t="s">
        <v>20</v>
      </c>
      <c r="C2592" s="4" t="s">
        <v>21</v>
      </c>
      <c r="D2592" s="4" t="s">
        <v>22</v>
      </c>
      <c r="E2592" s="4" t="s">
        <v>23</v>
      </c>
      <c r="F2592" s="4" t="s">
        <v>24</v>
      </c>
    </row>
    <row r="2593" spans="1:6" ht="15.75" thickBot="1" x14ac:dyDescent="0.3">
      <c r="A2593" s="32" t="s">
        <v>288</v>
      </c>
      <c r="B2593" s="32" t="s">
        <v>289</v>
      </c>
      <c r="C2593" s="6" t="s">
        <v>27</v>
      </c>
      <c r="D2593" s="6" t="s">
        <v>28</v>
      </c>
      <c r="E2593" s="32" t="s">
        <v>29</v>
      </c>
      <c r="F2593" s="6"/>
    </row>
    <row r="2594" spans="1:6" ht="15.75" thickBot="1" x14ac:dyDescent="0.3">
      <c r="A2594" s="35" t="s">
        <v>31</v>
      </c>
      <c r="B2594" s="7" t="s">
        <v>32</v>
      </c>
      <c r="C2594" s="15">
        <v>45383</v>
      </c>
      <c r="D2594" s="35" t="s">
        <v>33</v>
      </c>
      <c r="E2594" s="7" t="s">
        <v>34</v>
      </c>
      <c r="F2594" s="6"/>
    </row>
    <row r="2595" spans="1:6" ht="15.75" thickBot="1" x14ac:dyDescent="0.3">
      <c r="A2595" s="36"/>
      <c r="B2595" s="7" t="s">
        <v>36</v>
      </c>
      <c r="C2595" s="5">
        <f>IF(C2594="","",IF(AND(MONTH(C2594)&gt;=1,MONTH(C2594)&lt;=3),1,IF(AND(MONTH(C2594)&gt;=4,MONTH(C2594)&lt;=6),2,IF(AND(MONTH(C2594)&gt;=7,MONTH(C2594)&lt;=9),3,4))))</f>
        <v>2</v>
      </c>
      <c r="D2595" s="36"/>
      <c r="E2595" s="7" t="s">
        <v>37</v>
      </c>
      <c r="F2595" s="6"/>
    </row>
    <row r="2596" spans="1:6" ht="15.75" thickBot="1" x14ac:dyDescent="0.3">
      <c r="A2596" s="36"/>
      <c r="B2596" s="7" t="s">
        <v>39</v>
      </c>
      <c r="C2596" s="15">
        <v>45473</v>
      </c>
      <c r="D2596" s="36"/>
      <c r="E2596" s="7" t="s">
        <v>40</v>
      </c>
      <c r="F2596" s="6"/>
    </row>
    <row r="2597" spans="1:6" ht="15.75" thickBot="1" x14ac:dyDescent="0.3">
      <c r="A2597" s="36"/>
      <c r="B2597" s="7" t="s">
        <v>36</v>
      </c>
      <c r="C2597" s="5">
        <f>IF(C2596="","",IF(AND(MONTH(C2596)&gt;=1,MONTH(C2596)&lt;=3),1,IF(AND(MONTH(C2596)&gt;=4,MONTH(C2596)&lt;=6),2,IF(AND(MONTH(C2596)&gt;=7,MONTH(C2596)&lt;=9),3,4))))</f>
        <v>2</v>
      </c>
      <c r="D2597" s="36"/>
      <c r="E2597" s="7" t="s">
        <v>41</v>
      </c>
      <c r="F2597" s="6"/>
    </row>
    <row r="2598" spans="1:6" ht="15.75" thickBot="1" x14ac:dyDescent="0.3">
      <c r="A2598" s="40"/>
      <c r="B2598" s="40"/>
      <c r="C2598" s="40"/>
      <c r="D2598" s="40"/>
      <c r="E2598" s="40"/>
      <c r="F2598" s="40"/>
    </row>
    <row r="2599" spans="1:6" ht="15.75" thickBot="1" x14ac:dyDescent="0.3">
      <c r="A2599" s="12" t="s">
        <v>42</v>
      </c>
      <c r="B2599" s="12" t="s">
        <v>43</v>
      </c>
      <c r="C2599" s="12" t="s">
        <v>44</v>
      </c>
      <c r="D2599" s="12" t="s">
        <v>45</v>
      </c>
      <c r="E2599" s="12" t="s">
        <v>46</v>
      </c>
      <c r="F2599" s="12" t="s">
        <v>47</v>
      </c>
    </row>
    <row r="2600" spans="1:6" ht="22.5" x14ac:dyDescent="0.25">
      <c r="A2600" s="8">
        <v>42171917</v>
      </c>
      <c r="B2600" s="9" t="str">
        <f ca="1">IFERROR(INDEX(UNSPSCDes,MATCH(INDIRECT(ADDRESS(ROW(),COLUMN()-1,4)),UNSPSCCode,0)),"")</f>
        <v>Estuches o bolsas o accesorios de primeros auxilios para servicios médicos de emergencia</v>
      </c>
      <c r="C2600" s="33" t="s">
        <v>55</v>
      </c>
      <c r="D2600" s="8">
        <v>1400</v>
      </c>
      <c r="E2600" s="11">
        <v>1000</v>
      </c>
      <c r="F2600" s="10">
        <f ca="1">INDIRECT(ADDRESS(ROW(),COLUMN()-2,4))*INDIRECT(ADDRESS(ROW(),COLUMN()-1,4))</f>
        <v>1400000</v>
      </c>
    </row>
    <row r="2601" spans="1:6" x14ac:dyDescent="0.25">
      <c r="A2601" s="40"/>
      <c r="B2601" s="40"/>
      <c r="C2601" s="40"/>
      <c r="D2601" s="40"/>
      <c r="E2601" s="13" t="s">
        <v>87</v>
      </c>
      <c r="F2601" s="14">
        <f ca="1">SUM(Table365[MONTO TOTAL ESTIMADO])</f>
        <v>1400000</v>
      </c>
    </row>
    <row r="2602" spans="1:6" ht="15.75" thickBot="1" x14ac:dyDescent="0.3">
      <c r="A2602" s="42"/>
      <c r="B2602" s="42"/>
      <c r="C2602" s="42"/>
      <c r="D2602" s="42"/>
      <c r="E2602" s="42"/>
      <c r="F2602" s="42"/>
    </row>
    <row r="2603" spans="1:6" ht="23.25" thickBot="1" x14ac:dyDescent="0.3">
      <c r="A2603" s="4" t="s">
        <v>19</v>
      </c>
      <c r="B2603" s="4" t="s">
        <v>20</v>
      </c>
      <c r="C2603" s="4" t="s">
        <v>21</v>
      </c>
      <c r="D2603" s="4" t="s">
        <v>22</v>
      </c>
      <c r="E2603" s="4" t="s">
        <v>23</v>
      </c>
      <c r="F2603" s="4" t="s">
        <v>24</v>
      </c>
    </row>
    <row r="2604" spans="1:6" ht="15.75" thickBot="1" x14ac:dyDescent="0.3">
      <c r="A2604" s="32" t="s">
        <v>288</v>
      </c>
      <c r="B2604" s="32" t="s">
        <v>289</v>
      </c>
      <c r="C2604" s="6" t="s">
        <v>27</v>
      </c>
      <c r="D2604" s="6" t="s">
        <v>28</v>
      </c>
      <c r="E2604" s="32" t="s">
        <v>29</v>
      </c>
      <c r="F2604" s="6"/>
    </row>
    <row r="2605" spans="1:6" ht="15.75" thickBot="1" x14ac:dyDescent="0.3">
      <c r="A2605" s="35" t="s">
        <v>31</v>
      </c>
      <c r="B2605" s="7" t="s">
        <v>32</v>
      </c>
      <c r="C2605" s="15">
        <v>45383</v>
      </c>
      <c r="D2605" s="35" t="s">
        <v>33</v>
      </c>
      <c r="E2605" s="7" t="s">
        <v>34</v>
      </c>
      <c r="F2605" s="6"/>
    </row>
    <row r="2606" spans="1:6" ht="15.75" thickBot="1" x14ac:dyDescent="0.3">
      <c r="A2606" s="36"/>
      <c r="B2606" s="7" t="s">
        <v>36</v>
      </c>
      <c r="C2606" s="5">
        <f>IF(C2605="","",IF(AND(MONTH(C2605)&gt;=1,MONTH(C2605)&lt;=3),1,IF(AND(MONTH(C2605)&gt;=4,MONTH(C2605)&lt;=6),2,IF(AND(MONTH(C2605)&gt;=7,MONTH(C2605)&lt;=9),3,4))))</f>
        <v>2</v>
      </c>
      <c r="D2606" s="36"/>
      <c r="E2606" s="7" t="s">
        <v>37</v>
      </c>
      <c r="F2606" s="6"/>
    </row>
    <row r="2607" spans="1:6" ht="15.75" thickBot="1" x14ac:dyDescent="0.3">
      <c r="A2607" s="36"/>
      <c r="B2607" s="7" t="s">
        <v>39</v>
      </c>
      <c r="C2607" s="15">
        <v>45473</v>
      </c>
      <c r="D2607" s="36"/>
      <c r="E2607" s="7" t="s">
        <v>40</v>
      </c>
      <c r="F2607" s="6"/>
    </row>
    <row r="2608" spans="1:6" ht="15.75" thickBot="1" x14ac:dyDescent="0.3">
      <c r="A2608" s="36"/>
      <c r="B2608" s="7" t="s">
        <v>36</v>
      </c>
      <c r="C2608" s="5">
        <f>IF(C2607="","",IF(AND(MONTH(C2607)&gt;=1,MONTH(C2607)&lt;=3),1,IF(AND(MONTH(C2607)&gt;=4,MONTH(C2607)&lt;=6),2,IF(AND(MONTH(C2607)&gt;=7,MONTH(C2607)&lt;=9),3,4))))</f>
        <v>2</v>
      </c>
      <c r="D2608" s="36"/>
      <c r="E2608" s="7" t="s">
        <v>41</v>
      </c>
      <c r="F2608" s="6"/>
    </row>
    <row r="2609" spans="1:6" ht="15.75" thickBot="1" x14ac:dyDescent="0.3">
      <c r="A2609" s="40"/>
      <c r="B2609" s="40"/>
      <c r="C2609" s="40"/>
      <c r="D2609" s="40"/>
      <c r="E2609" s="40"/>
      <c r="F2609" s="40"/>
    </row>
    <row r="2610" spans="1:6" ht="15.75" thickBot="1" x14ac:dyDescent="0.3">
      <c r="A2610" s="12" t="s">
        <v>42</v>
      </c>
      <c r="B2610" s="12" t="s">
        <v>43</v>
      </c>
      <c r="C2610" s="12" t="s">
        <v>44</v>
      </c>
      <c r="D2610" s="12" t="s">
        <v>45</v>
      </c>
      <c r="E2610" s="12" t="s">
        <v>46</v>
      </c>
      <c r="F2610" s="12" t="s">
        <v>47</v>
      </c>
    </row>
    <row r="2611" spans="1:6" ht="22.5" x14ac:dyDescent="0.25">
      <c r="A2611" s="8">
        <v>42171917</v>
      </c>
      <c r="B2611" s="9" t="str">
        <f ca="1">IFERROR(INDEX(UNSPSCDes,MATCH(INDIRECT(ADDRESS(ROW(),COLUMN()-1,4)),UNSPSCCode,0)),"")</f>
        <v>Estuches o bolsas o accesorios de primeros auxilios para servicios médicos de emergencia</v>
      </c>
      <c r="C2611" s="33" t="s">
        <v>55</v>
      </c>
      <c r="D2611" s="8">
        <v>1400</v>
      </c>
      <c r="E2611" s="11">
        <v>1000</v>
      </c>
      <c r="F2611" s="10">
        <f ca="1">INDIRECT(ADDRESS(ROW(),COLUMN()-2,4))*INDIRECT(ADDRESS(ROW(),COLUMN()-1,4))</f>
        <v>1400000</v>
      </c>
    </row>
    <row r="2612" spans="1:6" x14ac:dyDescent="0.25">
      <c r="A2612" s="40"/>
      <c r="B2612" s="40"/>
      <c r="C2612" s="40"/>
      <c r="D2612" s="40"/>
      <c r="E2612" s="13" t="s">
        <v>87</v>
      </c>
      <c r="F2612" s="14">
        <f ca="1">SUM(Table366[MONTO TOTAL ESTIMADO])</f>
        <v>1400000</v>
      </c>
    </row>
    <row r="2613" spans="1:6" ht="15.75" thickBot="1" x14ac:dyDescent="0.3">
      <c r="A2613" s="42"/>
      <c r="B2613" s="42"/>
      <c r="C2613" s="42"/>
      <c r="D2613" s="42"/>
      <c r="E2613" s="42"/>
      <c r="F2613" s="42"/>
    </row>
    <row r="2614" spans="1:6" ht="23.25" thickBot="1" x14ac:dyDescent="0.3">
      <c r="A2614" s="4" t="s">
        <v>19</v>
      </c>
      <c r="B2614" s="4" t="s">
        <v>20</v>
      </c>
      <c r="C2614" s="4" t="s">
        <v>21</v>
      </c>
      <c r="D2614" s="4" t="s">
        <v>22</v>
      </c>
      <c r="E2614" s="4" t="s">
        <v>23</v>
      </c>
      <c r="F2614" s="4" t="s">
        <v>24</v>
      </c>
    </row>
    <row r="2615" spans="1:6" ht="15.75" thickBot="1" x14ac:dyDescent="0.3">
      <c r="A2615" s="32" t="s">
        <v>288</v>
      </c>
      <c r="B2615" s="32" t="s">
        <v>289</v>
      </c>
      <c r="C2615" s="32" t="s">
        <v>27</v>
      </c>
      <c r="D2615" s="6" t="s">
        <v>28</v>
      </c>
      <c r="E2615" s="32" t="s">
        <v>29</v>
      </c>
      <c r="F2615" s="6"/>
    </row>
    <row r="2616" spans="1:6" ht="15.75" thickBot="1" x14ac:dyDescent="0.3">
      <c r="A2616" s="35" t="s">
        <v>31</v>
      </c>
      <c r="B2616" s="7" t="s">
        <v>32</v>
      </c>
      <c r="C2616" s="15">
        <v>45383</v>
      </c>
      <c r="D2616" s="35" t="s">
        <v>33</v>
      </c>
      <c r="E2616" s="7" t="s">
        <v>34</v>
      </c>
      <c r="F2616" s="6"/>
    </row>
    <row r="2617" spans="1:6" ht="15.75" thickBot="1" x14ac:dyDescent="0.3">
      <c r="A2617" s="36"/>
      <c r="B2617" s="7" t="s">
        <v>36</v>
      </c>
      <c r="C2617" s="5">
        <f>IF(C2616="","",IF(AND(MONTH(C2616)&gt;=1,MONTH(C2616)&lt;=3),1,IF(AND(MONTH(C2616)&gt;=4,MONTH(C2616)&lt;=6),2,IF(AND(MONTH(C2616)&gt;=7,MONTH(C2616)&lt;=9),3,4))))</f>
        <v>2</v>
      </c>
      <c r="D2617" s="36"/>
      <c r="E2617" s="7" t="s">
        <v>37</v>
      </c>
      <c r="F2617" s="6"/>
    </row>
    <row r="2618" spans="1:6" ht="15.75" thickBot="1" x14ac:dyDescent="0.3">
      <c r="A2618" s="36"/>
      <c r="B2618" s="7" t="s">
        <v>39</v>
      </c>
      <c r="C2618" s="15">
        <v>45473</v>
      </c>
      <c r="D2618" s="36"/>
      <c r="E2618" s="7" t="s">
        <v>40</v>
      </c>
      <c r="F2618" s="6"/>
    </row>
    <row r="2619" spans="1:6" ht="15.75" thickBot="1" x14ac:dyDescent="0.3">
      <c r="A2619" s="36"/>
      <c r="B2619" s="7" t="s">
        <v>36</v>
      </c>
      <c r="C2619" s="5">
        <f>IF(C2618="","",IF(AND(MONTH(C2618)&gt;=1,MONTH(C2618)&lt;=3),1,IF(AND(MONTH(C2618)&gt;=4,MONTH(C2618)&lt;=6),2,IF(AND(MONTH(C2618)&gt;=7,MONTH(C2618)&lt;=9),3,4))))</f>
        <v>2</v>
      </c>
      <c r="D2619" s="36"/>
      <c r="E2619" s="7" t="s">
        <v>41</v>
      </c>
      <c r="F2619" s="6"/>
    </row>
    <row r="2620" spans="1:6" ht="15.75" thickBot="1" x14ac:dyDescent="0.3">
      <c r="A2620" s="40"/>
      <c r="B2620" s="40"/>
      <c r="C2620" s="40"/>
      <c r="D2620" s="40"/>
      <c r="E2620" s="40"/>
      <c r="F2620" s="40"/>
    </row>
    <row r="2621" spans="1:6" ht="15.75" thickBot="1" x14ac:dyDescent="0.3">
      <c r="A2621" s="12" t="s">
        <v>42</v>
      </c>
      <c r="B2621" s="12" t="s">
        <v>43</v>
      </c>
      <c r="C2621" s="12" t="s">
        <v>44</v>
      </c>
      <c r="D2621" s="12" t="s">
        <v>45</v>
      </c>
      <c r="E2621" s="12" t="s">
        <v>46</v>
      </c>
      <c r="F2621" s="12" t="s">
        <v>47</v>
      </c>
    </row>
    <row r="2622" spans="1:6" ht="22.5" x14ac:dyDescent="0.25">
      <c r="A2622" s="8">
        <v>42171917</v>
      </c>
      <c r="B2622" s="9" t="str">
        <f ca="1">IFERROR(INDEX(UNSPSCDes,MATCH(INDIRECT(ADDRESS(ROW(),COLUMN()-1,4)),UNSPSCCode,0)),"")</f>
        <v>Estuches o bolsas o accesorios de primeros auxilios para servicios médicos de emergencia</v>
      </c>
      <c r="C2622" s="33" t="s">
        <v>55</v>
      </c>
      <c r="D2622" s="8">
        <v>1400</v>
      </c>
      <c r="E2622" s="11">
        <v>1000</v>
      </c>
      <c r="F2622" s="10">
        <f ca="1">INDIRECT(ADDRESS(ROW(),COLUMN()-2,4))*INDIRECT(ADDRESS(ROW(),COLUMN()-1,4))</f>
        <v>1400000</v>
      </c>
    </row>
    <row r="2623" spans="1:6" x14ac:dyDescent="0.25">
      <c r="A2623" s="40"/>
      <c r="B2623" s="40"/>
      <c r="C2623" s="40"/>
      <c r="D2623" s="40"/>
      <c r="E2623" s="13" t="s">
        <v>87</v>
      </c>
      <c r="F2623" s="14">
        <f ca="1">SUM(Table367[MONTO TOTAL ESTIMADO])</f>
        <v>1400000</v>
      </c>
    </row>
    <row r="2624" spans="1:6" ht="15.75" thickBot="1" x14ac:dyDescent="0.3">
      <c r="A2624" s="42"/>
      <c r="B2624" s="42"/>
      <c r="C2624" s="42"/>
      <c r="D2624" s="42"/>
      <c r="E2624" s="42"/>
      <c r="F2624" s="42"/>
    </row>
    <row r="2625" spans="1:6" ht="23.25" thickBot="1" x14ac:dyDescent="0.3">
      <c r="A2625" s="4" t="s">
        <v>19</v>
      </c>
      <c r="B2625" s="4" t="s">
        <v>20</v>
      </c>
      <c r="C2625" s="4" t="s">
        <v>21</v>
      </c>
      <c r="D2625" s="4" t="s">
        <v>22</v>
      </c>
      <c r="E2625" s="4" t="s">
        <v>23</v>
      </c>
      <c r="F2625" s="4" t="s">
        <v>24</v>
      </c>
    </row>
    <row r="2626" spans="1:6" ht="15.75" thickBot="1" x14ac:dyDescent="0.3">
      <c r="A2626" s="32" t="s">
        <v>288</v>
      </c>
      <c r="B2626" s="32" t="s">
        <v>289</v>
      </c>
      <c r="C2626" s="6" t="s">
        <v>27</v>
      </c>
      <c r="D2626" s="6" t="s">
        <v>28</v>
      </c>
      <c r="E2626" s="32" t="s">
        <v>29</v>
      </c>
      <c r="F2626" s="6"/>
    </row>
    <row r="2627" spans="1:6" ht="15.75" thickBot="1" x14ac:dyDescent="0.3">
      <c r="A2627" s="35" t="s">
        <v>31</v>
      </c>
      <c r="B2627" s="7" t="s">
        <v>32</v>
      </c>
      <c r="C2627" s="15">
        <v>45383</v>
      </c>
      <c r="D2627" s="35" t="s">
        <v>33</v>
      </c>
      <c r="E2627" s="7" t="s">
        <v>34</v>
      </c>
      <c r="F2627" s="6"/>
    </row>
    <row r="2628" spans="1:6" ht="15.75" thickBot="1" x14ac:dyDescent="0.3">
      <c r="A2628" s="36"/>
      <c r="B2628" s="7" t="s">
        <v>36</v>
      </c>
      <c r="C2628" s="5">
        <f>IF(C2627="","",IF(AND(MONTH(C2627)&gt;=1,MONTH(C2627)&lt;=3),1,IF(AND(MONTH(C2627)&gt;=4,MONTH(C2627)&lt;=6),2,IF(AND(MONTH(C2627)&gt;=7,MONTH(C2627)&lt;=9),3,4))))</f>
        <v>2</v>
      </c>
      <c r="D2628" s="36"/>
      <c r="E2628" s="7" t="s">
        <v>37</v>
      </c>
      <c r="F2628" s="6"/>
    </row>
    <row r="2629" spans="1:6" ht="15.75" thickBot="1" x14ac:dyDescent="0.3">
      <c r="A2629" s="36"/>
      <c r="B2629" s="7" t="s">
        <v>39</v>
      </c>
      <c r="C2629" s="15">
        <v>45473</v>
      </c>
      <c r="D2629" s="36"/>
      <c r="E2629" s="7" t="s">
        <v>40</v>
      </c>
      <c r="F2629" s="6"/>
    </row>
    <row r="2630" spans="1:6" ht="15.75" thickBot="1" x14ac:dyDescent="0.3">
      <c r="A2630" s="36"/>
      <c r="B2630" s="7" t="s">
        <v>36</v>
      </c>
      <c r="C2630" s="5">
        <f>IF(C2629="","",IF(AND(MONTH(C2629)&gt;=1,MONTH(C2629)&lt;=3),1,IF(AND(MONTH(C2629)&gt;=4,MONTH(C2629)&lt;=6),2,IF(AND(MONTH(C2629)&gt;=7,MONTH(C2629)&lt;=9),3,4))))</f>
        <v>2</v>
      </c>
      <c r="D2630" s="36"/>
      <c r="E2630" s="7" t="s">
        <v>41</v>
      </c>
      <c r="F2630" s="6"/>
    </row>
    <row r="2631" spans="1:6" ht="15.75" thickBot="1" x14ac:dyDescent="0.3">
      <c r="A2631" s="40"/>
      <c r="B2631" s="40"/>
      <c r="C2631" s="40"/>
      <c r="D2631" s="40"/>
      <c r="E2631" s="40"/>
      <c r="F2631" s="40"/>
    </row>
    <row r="2632" spans="1:6" ht="15.75" thickBot="1" x14ac:dyDescent="0.3">
      <c r="A2632" s="12" t="s">
        <v>42</v>
      </c>
      <c r="B2632" s="12" t="s">
        <v>43</v>
      </c>
      <c r="C2632" s="12" t="s">
        <v>44</v>
      </c>
      <c r="D2632" s="12" t="s">
        <v>45</v>
      </c>
      <c r="E2632" s="12" t="s">
        <v>46</v>
      </c>
      <c r="F2632" s="12" t="s">
        <v>47</v>
      </c>
    </row>
    <row r="2633" spans="1:6" ht="22.5" x14ac:dyDescent="0.25">
      <c r="A2633" s="8">
        <v>42171917</v>
      </c>
      <c r="B2633" s="9" t="str">
        <f ca="1">IFERROR(INDEX(UNSPSCDes,MATCH(INDIRECT(ADDRESS(ROW(),COLUMN()-1,4)),UNSPSCCode,0)),"")</f>
        <v>Estuches o bolsas o accesorios de primeros auxilios para servicios médicos de emergencia</v>
      </c>
      <c r="C2633" s="33" t="s">
        <v>55</v>
      </c>
      <c r="D2633" s="8">
        <v>1400</v>
      </c>
      <c r="E2633" s="11">
        <v>1000</v>
      </c>
      <c r="F2633" s="10">
        <f ca="1">INDIRECT(ADDRESS(ROW(),COLUMN()-2,4))*INDIRECT(ADDRESS(ROW(),COLUMN()-1,4))</f>
        <v>1400000</v>
      </c>
    </row>
    <row r="2634" spans="1:6" x14ac:dyDescent="0.25">
      <c r="A2634" s="40"/>
      <c r="B2634" s="40"/>
      <c r="C2634" s="40"/>
      <c r="D2634" s="40"/>
      <c r="E2634" s="13" t="s">
        <v>87</v>
      </c>
      <c r="F2634" s="14">
        <f ca="1">SUM(Table368[MONTO TOTAL ESTIMADO])</f>
        <v>1400000</v>
      </c>
    </row>
    <row r="2635" spans="1:6" ht="15.75" thickBot="1" x14ac:dyDescent="0.3">
      <c r="A2635" s="42"/>
      <c r="B2635" s="42"/>
      <c r="C2635" s="42"/>
      <c r="D2635" s="42"/>
      <c r="E2635" s="42"/>
      <c r="F2635" s="42"/>
    </row>
    <row r="2636" spans="1:6" ht="23.25" thickBot="1" x14ac:dyDescent="0.3">
      <c r="A2636" s="4" t="s">
        <v>19</v>
      </c>
      <c r="B2636" s="4" t="s">
        <v>20</v>
      </c>
      <c r="C2636" s="4" t="s">
        <v>21</v>
      </c>
      <c r="D2636" s="4" t="s">
        <v>22</v>
      </c>
      <c r="E2636" s="4" t="s">
        <v>23</v>
      </c>
      <c r="F2636" s="4" t="s">
        <v>24</v>
      </c>
    </row>
    <row r="2637" spans="1:6" ht="15.75" thickBot="1" x14ac:dyDescent="0.3">
      <c r="A2637" s="32" t="s">
        <v>291</v>
      </c>
      <c r="B2637" s="32" t="s">
        <v>292</v>
      </c>
      <c r="C2637" s="32" t="s">
        <v>129</v>
      </c>
      <c r="D2637" s="6" t="s">
        <v>28</v>
      </c>
      <c r="E2637" s="32" t="s">
        <v>262</v>
      </c>
      <c r="F2637" s="6"/>
    </row>
    <row r="2638" spans="1:6" ht="15.75" thickBot="1" x14ac:dyDescent="0.3">
      <c r="A2638" s="35" t="s">
        <v>31</v>
      </c>
      <c r="B2638" s="7" t="s">
        <v>32</v>
      </c>
      <c r="C2638" s="15">
        <v>45383</v>
      </c>
      <c r="D2638" s="35" t="s">
        <v>33</v>
      </c>
      <c r="E2638" s="7" t="s">
        <v>34</v>
      </c>
      <c r="F2638" s="6"/>
    </row>
    <row r="2639" spans="1:6" ht="15.75" thickBot="1" x14ac:dyDescent="0.3">
      <c r="A2639" s="36"/>
      <c r="B2639" s="7" t="s">
        <v>36</v>
      </c>
      <c r="C2639" s="5">
        <f>IF(C2638="","",IF(AND(MONTH(C2638)&gt;=1,MONTH(C2638)&lt;=3),1,IF(AND(MONTH(C2638)&gt;=4,MONTH(C2638)&lt;=6),2,IF(AND(MONTH(C2638)&gt;=7,MONTH(C2638)&lt;=9),3,4))))</f>
        <v>2</v>
      </c>
      <c r="D2639" s="36"/>
      <c r="E2639" s="7" t="s">
        <v>37</v>
      </c>
      <c r="F2639" s="6"/>
    </row>
    <row r="2640" spans="1:6" ht="15.75" thickBot="1" x14ac:dyDescent="0.3">
      <c r="A2640" s="36"/>
      <c r="B2640" s="7" t="s">
        <v>39</v>
      </c>
      <c r="C2640" s="15">
        <v>45473</v>
      </c>
      <c r="D2640" s="36"/>
      <c r="E2640" s="7" t="s">
        <v>40</v>
      </c>
      <c r="F2640" s="6"/>
    </row>
    <row r="2641" spans="1:6" ht="15.75" thickBot="1" x14ac:dyDescent="0.3">
      <c r="A2641" s="36"/>
      <c r="B2641" s="7" t="s">
        <v>36</v>
      </c>
      <c r="C2641" s="5">
        <f>IF(C2640="","",IF(AND(MONTH(C2640)&gt;=1,MONTH(C2640)&lt;=3),1,IF(AND(MONTH(C2640)&gt;=4,MONTH(C2640)&lt;=6),2,IF(AND(MONTH(C2640)&gt;=7,MONTH(C2640)&lt;=9),3,4))))</f>
        <v>2</v>
      </c>
      <c r="D2641" s="36"/>
      <c r="E2641" s="7" t="s">
        <v>41</v>
      </c>
      <c r="F2641" s="6"/>
    </row>
    <row r="2642" spans="1:6" ht="15.75" thickBot="1" x14ac:dyDescent="0.3">
      <c r="A2642" s="40"/>
      <c r="B2642" s="40"/>
      <c r="C2642" s="40"/>
      <c r="D2642" s="40"/>
      <c r="E2642" s="40"/>
      <c r="F2642" s="40"/>
    </row>
    <row r="2643" spans="1:6" ht="15.75" thickBot="1" x14ac:dyDescent="0.3">
      <c r="A2643" s="12" t="s">
        <v>42</v>
      </c>
      <c r="B2643" s="12" t="s">
        <v>43</v>
      </c>
      <c r="C2643" s="12" t="s">
        <v>44</v>
      </c>
      <c r="D2643" s="12" t="s">
        <v>45</v>
      </c>
      <c r="E2643" s="12" t="s">
        <v>46</v>
      </c>
      <c r="F2643" s="12" t="s">
        <v>47</v>
      </c>
    </row>
    <row r="2644" spans="1:6" x14ac:dyDescent="0.25">
      <c r="A2644" s="8">
        <v>90101603</v>
      </c>
      <c r="B2644" s="9" t="str">
        <f ca="1">IFERROR(INDEX(UNSPSCDes,MATCH(INDIRECT(ADDRESS(ROW(),COLUMN()-1,4)),UNSPSCCode,0)),"")</f>
        <v>Servicios de cáterin</v>
      </c>
      <c r="C2644" s="8" t="s">
        <v>55</v>
      </c>
      <c r="D2644" s="8">
        <v>1</v>
      </c>
      <c r="E2644" s="11">
        <v>465000</v>
      </c>
      <c r="F2644" s="10">
        <f ca="1">INDIRECT(ADDRESS(ROW(),COLUMN()-2,4))*INDIRECT(ADDRESS(ROW(),COLUMN()-1,4))</f>
        <v>465000</v>
      </c>
    </row>
    <row r="2645" spans="1:6" x14ac:dyDescent="0.25">
      <c r="A2645" s="8">
        <v>90101802</v>
      </c>
      <c r="B2645" s="9" t="str">
        <f ca="1">IFERROR(INDEX(UNSPSCDes,MATCH(INDIRECT(ADDRESS(ROW(),COLUMN()-1,4)),UNSPSCCode,0)),"")</f>
        <v>Servicios de comidas a domicilio</v>
      </c>
      <c r="C2645" s="33" t="s">
        <v>55</v>
      </c>
      <c r="D2645" s="8">
        <v>1</v>
      </c>
      <c r="E2645" s="11">
        <v>895000</v>
      </c>
      <c r="F2645" s="10">
        <f ca="1">INDIRECT(ADDRESS(ROW(),COLUMN()-2,4))*INDIRECT(ADDRESS(ROW(),COLUMN()-1,4))</f>
        <v>895000</v>
      </c>
    </row>
    <row r="2646" spans="1:6" x14ac:dyDescent="0.25">
      <c r="A2646" s="40"/>
      <c r="B2646" s="40"/>
      <c r="C2646" s="40"/>
      <c r="D2646" s="40"/>
      <c r="E2646" s="13" t="s">
        <v>87</v>
      </c>
      <c r="F2646" s="14">
        <f ca="1">SUM(Table369[MONTO TOTAL ESTIMADO])</f>
        <v>1360000</v>
      </c>
    </row>
    <row r="2647" spans="1:6" ht="15.75" thickBot="1" x14ac:dyDescent="0.3">
      <c r="A2647" s="42"/>
      <c r="B2647" s="42"/>
      <c r="C2647" s="42"/>
      <c r="D2647" s="42"/>
      <c r="E2647" s="42"/>
      <c r="F2647" s="42"/>
    </row>
    <row r="2648" spans="1:6" ht="23.25" thickBot="1" x14ac:dyDescent="0.3">
      <c r="A2648" s="4" t="s">
        <v>19</v>
      </c>
      <c r="B2648" s="4" t="s">
        <v>20</v>
      </c>
      <c r="C2648" s="4" t="s">
        <v>21</v>
      </c>
      <c r="D2648" s="4" t="s">
        <v>22</v>
      </c>
      <c r="E2648" s="4" t="s">
        <v>23</v>
      </c>
      <c r="F2648" s="4" t="s">
        <v>24</v>
      </c>
    </row>
    <row r="2649" spans="1:6" ht="15.75" thickBot="1" x14ac:dyDescent="0.3">
      <c r="A2649" s="32" t="s">
        <v>219</v>
      </c>
      <c r="B2649" s="32" t="s">
        <v>294</v>
      </c>
      <c r="C2649" s="32" t="s">
        <v>129</v>
      </c>
      <c r="D2649" s="6" t="s">
        <v>28</v>
      </c>
      <c r="E2649" s="32" t="s">
        <v>262</v>
      </c>
      <c r="F2649" s="6"/>
    </row>
    <row r="2650" spans="1:6" ht="15.75" thickBot="1" x14ac:dyDescent="0.3">
      <c r="A2650" s="35" t="s">
        <v>31</v>
      </c>
      <c r="B2650" s="7" t="s">
        <v>32</v>
      </c>
      <c r="C2650" s="15">
        <v>45383</v>
      </c>
      <c r="D2650" s="35" t="s">
        <v>33</v>
      </c>
      <c r="E2650" s="7" t="s">
        <v>34</v>
      </c>
      <c r="F2650" s="6"/>
    </row>
    <row r="2651" spans="1:6" ht="15.75" thickBot="1" x14ac:dyDescent="0.3">
      <c r="A2651" s="36"/>
      <c r="B2651" s="7" t="s">
        <v>36</v>
      </c>
      <c r="C2651" s="5">
        <f>IF(C2650="","",IF(AND(MONTH(C2650)&gt;=1,MONTH(C2650)&lt;=3),1,IF(AND(MONTH(C2650)&gt;=4,MONTH(C2650)&lt;=6),2,IF(AND(MONTH(C2650)&gt;=7,MONTH(C2650)&lt;=9),3,4))))</f>
        <v>2</v>
      </c>
      <c r="D2651" s="36"/>
      <c r="E2651" s="7" t="s">
        <v>37</v>
      </c>
      <c r="F2651" s="6"/>
    </row>
    <row r="2652" spans="1:6" ht="15.75" thickBot="1" x14ac:dyDescent="0.3">
      <c r="A2652" s="36"/>
      <c r="B2652" s="7" t="s">
        <v>39</v>
      </c>
      <c r="C2652" s="15">
        <v>45473</v>
      </c>
      <c r="D2652" s="36"/>
      <c r="E2652" s="7" t="s">
        <v>40</v>
      </c>
      <c r="F2652" s="6"/>
    </row>
    <row r="2653" spans="1:6" ht="15.75" thickBot="1" x14ac:dyDescent="0.3">
      <c r="A2653" s="36"/>
      <c r="B2653" s="7" t="s">
        <v>36</v>
      </c>
      <c r="C2653" s="5">
        <f>IF(C2652="","",IF(AND(MONTH(C2652)&gt;=1,MONTH(C2652)&lt;=3),1,IF(AND(MONTH(C2652)&gt;=4,MONTH(C2652)&lt;=6),2,IF(AND(MONTH(C2652)&gt;=7,MONTH(C2652)&lt;=9),3,4))))</f>
        <v>2</v>
      </c>
      <c r="D2653" s="36"/>
      <c r="E2653" s="7" t="s">
        <v>41</v>
      </c>
      <c r="F2653" s="6"/>
    </row>
    <row r="2654" spans="1:6" ht="15.75" thickBot="1" x14ac:dyDescent="0.3">
      <c r="A2654" s="40"/>
      <c r="B2654" s="40"/>
      <c r="C2654" s="40"/>
      <c r="D2654" s="40"/>
      <c r="E2654" s="40"/>
      <c r="F2654" s="40"/>
    </row>
    <row r="2655" spans="1:6" ht="15.75" thickBot="1" x14ac:dyDescent="0.3">
      <c r="A2655" s="12" t="s">
        <v>42</v>
      </c>
      <c r="B2655" s="12" t="s">
        <v>43</v>
      </c>
      <c r="C2655" s="12" t="s">
        <v>44</v>
      </c>
      <c r="D2655" s="12" t="s">
        <v>45</v>
      </c>
      <c r="E2655" s="12" t="s">
        <v>46</v>
      </c>
      <c r="F2655" s="12" t="s">
        <v>47</v>
      </c>
    </row>
    <row r="2656" spans="1:6" x14ac:dyDescent="0.25">
      <c r="A2656" s="8">
        <v>80141607</v>
      </c>
      <c r="B2656" s="9" t="str">
        <f ca="1">IFERROR(INDEX(UNSPSCDes,MATCH(INDIRECT(ADDRESS(ROW(),COLUMN()-1,4)),UNSPSCCode,0)),"")</f>
        <v>Gestión de eventos</v>
      </c>
      <c r="C2656" s="8" t="s">
        <v>55</v>
      </c>
      <c r="D2656" s="8">
        <v>1</v>
      </c>
      <c r="E2656" s="11">
        <v>1295000</v>
      </c>
      <c r="F2656" s="10">
        <f ca="1">INDIRECT(ADDRESS(ROW(),COLUMN()-2,4))*INDIRECT(ADDRESS(ROW(),COLUMN()-1,4))</f>
        <v>1295000</v>
      </c>
    </row>
    <row r="2657" spans="1:6" x14ac:dyDescent="0.25">
      <c r="A2657" s="40"/>
      <c r="B2657" s="40"/>
      <c r="C2657" s="40"/>
      <c r="D2657" s="40"/>
      <c r="E2657" s="13" t="s">
        <v>87</v>
      </c>
      <c r="F2657" s="14">
        <f ca="1">SUM(Table370[MONTO TOTAL ESTIMADO])</f>
        <v>1295000</v>
      </c>
    </row>
    <row r="2658" spans="1:6" ht="15.75" thickBot="1" x14ac:dyDescent="0.3">
      <c r="A2658" s="42"/>
      <c r="B2658" s="42"/>
      <c r="C2658" s="42"/>
      <c r="D2658" s="42"/>
      <c r="E2658" s="42"/>
      <c r="F2658" s="42"/>
    </row>
    <row r="2659" spans="1:6" ht="23.25" thickBot="1" x14ac:dyDescent="0.3">
      <c r="A2659" s="4" t="s">
        <v>19</v>
      </c>
      <c r="B2659" s="4" t="s">
        <v>20</v>
      </c>
      <c r="C2659" s="4" t="s">
        <v>21</v>
      </c>
      <c r="D2659" s="4" t="s">
        <v>22</v>
      </c>
      <c r="E2659" s="4" t="s">
        <v>23</v>
      </c>
      <c r="F2659" s="4" t="s">
        <v>24</v>
      </c>
    </row>
    <row r="2660" spans="1:6" ht="15.75" thickBot="1" x14ac:dyDescent="0.3">
      <c r="A2660" s="32" t="s">
        <v>295</v>
      </c>
      <c r="B2660" s="32" t="s">
        <v>296</v>
      </c>
      <c r="C2660" s="32" t="s">
        <v>129</v>
      </c>
      <c r="D2660" s="6" t="s">
        <v>28</v>
      </c>
      <c r="E2660" s="32" t="s">
        <v>262</v>
      </c>
      <c r="F2660" s="6"/>
    </row>
    <row r="2661" spans="1:6" ht="15.75" thickBot="1" x14ac:dyDescent="0.3">
      <c r="A2661" s="35" t="s">
        <v>31</v>
      </c>
      <c r="B2661" s="7" t="s">
        <v>32</v>
      </c>
      <c r="C2661" s="15">
        <v>45292</v>
      </c>
      <c r="D2661" s="35" t="s">
        <v>33</v>
      </c>
      <c r="E2661" s="7" t="s">
        <v>34</v>
      </c>
      <c r="F2661" s="6"/>
    </row>
    <row r="2662" spans="1:6" ht="15.75" thickBot="1" x14ac:dyDescent="0.3">
      <c r="A2662" s="36"/>
      <c r="B2662" s="7" t="s">
        <v>36</v>
      </c>
      <c r="C2662" s="5">
        <f>IF(C2661="","",IF(AND(MONTH(C2661)&gt;=1,MONTH(C2661)&lt;=3),1,IF(AND(MONTH(C2661)&gt;=4,MONTH(C2661)&lt;=6),2,IF(AND(MONTH(C2661)&gt;=7,MONTH(C2661)&lt;=9),3,4))))</f>
        <v>1</v>
      </c>
      <c r="D2662" s="36"/>
      <c r="E2662" s="7" t="s">
        <v>37</v>
      </c>
      <c r="F2662" s="6"/>
    </row>
    <row r="2663" spans="1:6" ht="15.75" thickBot="1" x14ac:dyDescent="0.3">
      <c r="A2663" s="36"/>
      <c r="B2663" s="7" t="s">
        <v>39</v>
      </c>
      <c r="C2663" s="15">
        <v>45473</v>
      </c>
      <c r="D2663" s="36"/>
      <c r="E2663" s="7" t="s">
        <v>40</v>
      </c>
      <c r="F2663" s="6"/>
    </row>
    <row r="2664" spans="1:6" ht="15.75" thickBot="1" x14ac:dyDescent="0.3">
      <c r="A2664" s="36"/>
      <c r="B2664" s="7" t="s">
        <v>36</v>
      </c>
      <c r="C2664" s="5">
        <f>IF(C2663="","",IF(AND(MONTH(C2663)&gt;=1,MONTH(C2663)&lt;=3),1,IF(AND(MONTH(C2663)&gt;=4,MONTH(C2663)&lt;=6),2,IF(AND(MONTH(C2663)&gt;=7,MONTH(C2663)&lt;=9),3,4))))</f>
        <v>2</v>
      </c>
      <c r="D2664" s="36"/>
      <c r="E2664" s="7" t="s">
        <v>41</v>
      </c>
      <c r="F2664" s="6"/>
    </row>
    <row r="2665" spans="1:6" ht="15.75" thickBot="1" x14ac:dyDescent="0.3">
      <c r="A2665" s="40"/>
      <c r="B2665" s="40"/>
      <c r="C2665" s="40"/>
      <c r="D2665" s="40"/>
      <c r="E2665" s="40"/>
      <c r="F2665" s="40"/>
    </row>
    <row r="2666" spans="1:6" ht="15.75" thickBot="1" x14ac:dyDescent="0.3">
      <c r="A2666" s="12" t="s">
        <v>42</v>
      </c>
      <c r="B2666" s="12" t="s">
        <v>43</v>
      </c>
      <c r="C2666" s="12" t="s">
        <v>44</v>
      </c>
      <c r="D2666" s="12" t="s">
        <v>45</v>
      </c>
      <c r="E2666" s="12" t="s">
        <v>46</v>
      </c>
      <c r="F2666" s="12" t="s">
        <v>47</v>
      </c>
    </row>
    <row r="2667" spans="1:6" x14ac:dyDescent="0.25">
      <c r="A2667" s="8">
        <v>80141607</v>
      </c>
      <c r="B2667" s="9" t="str">
        <f ca="1">IFERROR(INDEX(UNSPSCDes,MATCH(INDIRECT(ADDRESS(ROW(),COLUMN()-1,4)),UNSPSCCode,0)),"")</f>
        <v>Gestión de eventos</v>
      </c>
      <c r="C2667" s="8" t="s">
        <v>55</v>
      </c>
      <c r="D2667" s="8">
        <v>1</v>
      </c>
      <c r="E2667" s="11">
        <v>1315000</v>
      </c>
      <c r="F2667" s="10">
        <f ca="1">INDIRECT(ADDRESS(ROW(),COLUMN()-2,4))*INDIRECT(ADDRESS(ROW(),COLUMN()-1,4))</f>
        <v>1315000</v>
      </c>
    </row>
    <row r="2668" spans="1:6" x14ac:dyDescent="0.25">
      <c r="A2668" s="40"/>
      <c r="B2668" s="40"/>
      <c r="C2668" s="40"/>
      <c r="D2668" s="40"/>
      <c r="E2668" s="13" t="s">
        <v>87</v>
      </c>
      <c r="F2668" s="14">
        <f ca="1">SUM(Table371[MONTO TOTAL ESTIMADO])</f>
        <v>1315000</v>
      </c>
    </row>
    <row r="2669" spans="1:6" ht="15.75" thickBot="1" x14ac:dyDescent="0.3">
      <c r="A2669" s="42"/>
      <c r="B2669" s="42"/>
      <c r="C2669" s="42"/>
      <c r="D2669" s="42"/>
      <c r="E2669" s="42"/>
      <c r="F2669" s="42"/>
    </row>
    <row r="2670" spans="1:6" ht="23.25" thickBot="1" x14ac:dyDescent="0.3">
      <c r="A2670" s="4" t="s">
        <v>19</v>
      </c>
      <c r="B2670" s="4" t="s">
        <v>20</v>
      </c>
      <c r="C2670" s="4" t="s">
        <v>21</v>
      </c>
      <c r="D2670" s="4" t="s">
        <v>22</v>
      </c>
      <c r="E2670" s="4" t="s">
        <v>23</v>
      </c>
      <c r="F2670" s="4" t="s">
        <v>24</v>
      </c>
    </row>
    <row r="2671" spans="1:6" ht="15.75" thickBot="1" x14ac:dyDescent="0.3">
      <c r="A2671" s="32" t="s">
        <v>219</v>
      </c>
      <c r="B2671" s="32" t="s">
        <v>294</v>
      </c>
      <c r="C2671" s="32" t="s">
        <v>129</v>
      </c>
      <c r="D2671" s="6" t="s">
        <v>28</v>
      </c>
      <c r="E2671" s="32" t="s">
        <v>262</v>
      </c>
      <c r="F2671" s="6"/>
    </row>
    <row r="2672" spans="1:6" ht="15.75" thickBot="1" x14ac:dyDescent="0.3">
      <c r="A2672" s="35" t="s">
        <v>31</v>
      </c>
      <c r="B2672" s="7" t="s">
        <v>32</v>
      </c>
      <c r="C2672" s="15">
        <v>45383</v>
      </c>
      <c r="D2672" s="35" t="s">
        <v>33</v>
      </c>
      <c r="E2672" s="7" t="s">
        <v>34</v>
      </c>
      <c r="F2672" s="6"/>
    </row>
    <row r="2673" spans="1:6" ht="15.75" thickBot="1" x14ac:dyDescent="0.3">
      <c r="A2673" s="36"/>
      <c r="B2673" s="7" t="s">
        <v>36</v>
      </c>
      <c r="C2673" s="5">
        <f>IF(C2672="","",IF(AND(MONTH(C2672)&gt;=1,MONTH(C2672)&lt;=3),1,IF(AND(MONTH(C2672)&gt;=4,MONTH(C2672)&lt;=6),2,IF(AND(MONTH(C2672)&gt;=7,MONTH(C2672)&lt;=9),3,4))))</f>
        <v>2</v>
      </c>
      <c r="D2673" s="36"/>
      <c r="E2673" s="7" t="s">
        <v>37</v>
      </c>
      <c r="F2673" s="6"/>
    </row>
    <row r="2674" spans="1:6" ht="15.75" thickBot="1" x14ac:dyDescent="0.3">
      <c r="A2674" s="36"/>
      <c r="B2674" s="7" t="s">
        <v>39</v>
      </c>
      <c r="C2674" s="15">
        <v>45473</v>
      </c>
      <c r="D2674" s="36"/>
      <c r="E2674" s="7" t="s">
        <v>40</v>
      </c>
      <c r="F2674" s="6"/>
    </row>
    <row r="2675" spans="1:6" ht="15.75" thickBot="1" x14ac:dyDescent="0.3">
      <c r="A2675" s="36"/>
      <c r="B2675" s="7" t="s">
        <v>36</v>
      </c>
      <c r="C2675" s="5">
        <f>IF(C2674="","",IF(AND(MONTH(C2674)&gt;=1,MONTH(C2674)&lt;=3),1,IF(AND(MONTH(C2674)&gt;=4,MONTH(C2674)&lt;=6),2,IF(AND(MONTH(C2674)&gt;=7,MONTH(C2674)&lt;=9),3,4))))</f>
        <v>2</v>
      </c>
      <c r="D2675" s="36"/>
      <c r="E2675" s="7" t="s">
        <v>41</v>
      </c>
      <c r="F2675" s="6"/>
    </row>
    <row r="2676" spans="1:6" ht="15.75" thickBot="1" x14ac:dyDescent="0.3">
      <c r="A2676" s="40"/>
      <c r="B2676" s="40"/>
      <c r="C2676" s="40"/>
      <c r="D2676" s="40"/>
      <c r="E2676" s="40"/>
      <c r="F2676" s="40"/>
    </row>
    <row r="2677" spans="1:6" ht="15.75" thickBot="1" x14ac:dyDescent="0.3">
      <c r="A2677" s="12" t="s">
        <v>42</v>
      </c>
      <c r="B2677" s="12" t="s">
        <v>43</v>
      </c>
      <c r="C2677" s="12" t="s">
        <v>44</v>
      </c>
      <c r="D2677" s="12" t="s">
        <v>45</v>
      </c>
      <c r="E2677" s="12" t="s">
        <v>46</v>
      </c>
      <c r="F2677" s="12" t="s">
        <v>47</v>
      </c>
    </row>
    <row r="2678" spans="1:6" x14ac:dyDescent="0.25">
      <c r="A2678" s="8">
        <v>80141607</v>
      </c>
      <c r="B2678" s="9" t="str">
        <f ca="1">IFERROR(INDEX(UNSPSCDes,MATCH(INDIRECT(ADDRESS(ROW(),COLUMN()-1,4)),UNSPSCCode,0)),"")</f>
        <v>Gestión de eventos</v>
      </c>
      <c r="C2678" s="8" t="s">
        <v>55</v>
      </c>
      <c r="D2678" s="8">
        <v>1</v>
      </c>
      <c r="E2678" s="11">
        <v>1350000</v>
      </c>
      <c r="F2678" s="10">
        <f ca="1">INDIRECT(ADDRESS(ROW(),COLUMN()-2,4))*INDIRECT(ADDRESS(ROW(),COLUMN()-1,4))</f>
        <v>1350000</v>
      </c>
    </row>
    <row r="2679" spans="1:6" x14ac:dyDescent="0.25">
      <c r="A2679" s="40"/>
      <c r="B2679" s="40"/>
      <c r="C2679" s="40"/>
      <c r="D2679" s="40"/>
      <c r="E2679" s="13" t="s">
        <v>87</v>
      </c>
      <c r="F2679" s="14">
        <f ca="1">SUM(Table372[MONTO TOTAL ESTIMADO])</f>
        <v>1350000</v>
      </c>
    </row>
    <row r="2680" spans="1:6" ht="15.75" thickBot="1" x14ac:dyDescent="0.3">
      <c r="A2680" s="42"/>
      <c r="B2680" s="42"/>
      <c r="C2680" s="42"/>
      <c r="D2680" s="42"/>
      <c r="E2680" s="42"/>
      <c r="F2680" s="42"/>
    </row>
    <row r="2681" spans="1:6" ht="23.25" thickBot="1" x14ac:dyDescent="0.3">
      <c r="A2681" s="4" t="s">
        <v>19</v>
      </c>
      <c r="B2681" s="4" t="s">
        <v>20</v>
      </c>
      <c r="C2681" s="4" t="s">
        <v>21</v>
      </c>
      <c r="D2681" s="4" t="s">
        <v>22</v>
      </c>
      <c r="E2681" s="4" t="s">
        <v>23</v>
      </c>
      <c r="F2681" s="4" t="s">
        <v>24</v>
      </c>
    </row>
    <row r="2682" spans="1:6" ht="15.75" thickBot="1" x14ac:dyDescent="0.3">
      <c r="A2682" s="32" t="s">
        <v>295</v>
      </c>
      <c r="B2682" s="32" t="s">
        <v>296</v>
      </c>
      <c r="C2682" s="32" t="s">
        <v>129</v>
      </c>
      <c r="D2682" s="6" t="s">
        <v>28</v>
      </c>
      <c r="E2682" s="32" t="s">
        <v>262</v>
      </c>
      <c r="F2682" s="6"/>
    </row>
    <row r="2683" spans="1:6" ht="15.75" thickBot="1" x14ac:dyDescent="0.3">
      <c r="A2683" s="35" t="s">
        <v>31</v>
      </c>
      <c r="B2683" s="7" t="s">
        <v>32</v>
      </c>
      <c r="C2683" s="15">
        <v>45383</v>
      </c>
      <c r="D2683" s="35" t="s">
        <v>33</v>
      </c>
      <c r="E2683" s="7" t="s">
        <v>34</v>
      </c>
      <c r="F2683" s="6"/>
    </row>
    <row r="2684" spans="1:6" ht="15.75" thickBot="1" x14ac:dyDescent="0.3">
      <c r="A2684" s="36"/>
      <c r="B2684" s="7" t="s">
        <v>36</v>
      </c>
      <c r="C2684" s="5">
        <f>IF(C2683="","",IF(AND(MONTH(C2683)&gt;=1,MONTH(C2683)&lt;=3),1,IF(AND(MONTH(C2683)&gt;=4,MONTH(C2683)&lt;=6),2,IF(AND(MONTH(C2683)&gt;=7,MONTH(C2683)&lt;=9),3,4))))</f>
        <v>2</v>
      </c>
      <c r="D2684" s="36"/>
      <c r="E2684" s="7" t="s">
        <v>37</v>
      </c>
      <c r="F2684" s="6"/>
    </row>
    <row r="2685" spans="1:6" ht="15.75" thickBot="1" x14ac:dyDescent="0.3">
      <c r="A2685" s="36"/>
      <c r="B2685" s="7" t="s">
        <v>39</v>
      </c>
      <c r="C2685" s="15">
        <v>45473</v>
      </c>
      <c r="D2685" s="36"/>
      <c r="E2685" s="7" t="s">
        <v>40</v>
      </c>
      <c r="F2685" s="6"/>
    </row>
    <row r="2686" spans="1:6" ht="15.75" thickBot="1" x14ac:dyDescent="0.3">
      <c r="A2686" s="36"/>
      <c r="B2686" s="7" t="s">
        <v>36</v>
      </c>
      <c r="C2686" s="5">
        <f>IF(C2685="","",IF(AND(MONTH(C2685)&gt;=1,MONTH(C2685)&lt;=3),1,IF(AND(MONTH(C2685)&gt;=4,MONTH(C2685)&lt;=6),2,IF(AND(MONTH(C2685)&gt;=7,MONTH(C2685)&lt;=9),3,4))))</f>
        <v>2</v>
      </c>
      <c r="D2686" s="36"/>
      <c r="E2686" s="7" t="s">
        <v>41</v>
      </c>
      <c r="F2686" s="6"/>
    </row>
    <row r="2687" spans="1:6" ht="15.75" thickBot="1" x14ac:dyDescent="0.3">
      <c r="A2687" s="40"/>
      <c r="B2687" s="40"/>
      <c r="C2687" s="40"/>
      <c r="D2687" s="40"/>
      <c r="E2687" s="40"/>
      <c r="F2687" s="40"/>
    </row>
    <row r="2688" spans="1:6" ht="15.75" thickBot="1" x14ac:dyDescent="0.3">
      <c r="A2688" s="12" t="s">
        <v>42</v>
      </c>
      <c r="B2688" s="12" t="s">
        <v>43</v>
      </c>
      <c r="C2688" s="12" t="s">
        <v>44</v>
      </c>
      <c r="D2688" s="12" t="s">
        <v>45</v>
      </c>
      <c r="E2688" s="12" t="s">
        <v>46</v>
      </c>
      <c r="F2688" s="12" t="s">
        <v>47</v>
      </c>
    </row>
    <row r="2689" spans="1:6" x14ac:dyDescent="0.25">
      <c r="A2689" s="8">
        <v>80141607</v>
      </c>
      <c r="B2689" s="9" t="str">
        <f ca="1">IFERROR(INDEX(UNSPSCDes,MATCH(INDIRECT(ADDRESS(ROW(),COLUMN()-1,4)),UNSPSCCode,0)),"")</f>
        <v>Gestión de eventos</v>
      </c>
      <c r="C2689" s="8" t="s">
        <v>55</v>
      </c>
      <c r="D2689" s="8">
        <v>1</v>
      </c>
      <c r="E2689" s="11">
        <v>1450000</v>
      </c>
      <c r="F2689" s="10">
        <f ca="1">INDIRECT(ADDRESS(ROW(),COLUMN()-2,4))*INDIRECT(ADDRESS(ROW(),COLUMN()-1,4))</f>
        <v>1450000</v>
      </c>
    </row>
    <row r="2690" spans="1:6" x14ac:dyDescent="0.25">
      <c r="A2690" s="40"/>
      <c r="B2690" s="40"/>
      <c r="C2690" s="40"/>
      <c r="D2690" s="40"/>
      <c r="E2690" s="13" t="s">
        <v>87</v>
      </c>
      <c r="F2690" s="14">
        <f ca="1">SUM(Table373[MONTO TOTAL ESTIMADO])</f>
        <v>1450000</v>
      </c>
    </row>
    <row r="2691" spans="1:6" ht="15.75" thickBot="1" x14ac:dyDescent="0.3">
      <c r="A2691" s="42"/>
      <c r="B2691" s="42"/>
      <c r="C2691" s="42"/>
      <c r="D2691" s="42"/>
      <c r="E2691" s="42"/>
      <c r="F2691" s="42"/>
    </row>
    <row r="2692" spans="1:6" ht="23.25" thickBot="1" x14ac:dyDescent="0.3">
      <c r="A2692" s="4" t="s">
        <v>19</v>
      </c>
      <c r="B2692" s="4" t="s">
        <v>20</v>
      </c>
      <c r="C2692" s="4" t="s">
        <v>21</v>
      </c>
      <c r="D2692" s="4" t="s">
        <v>22</v>
      </c>
      <c r="E2692" s="4" t="s">
        <v>23</v>
      </c>
      <c r="F2692" s="4" t="s">
        <v>24</v>
      </c>
    </row>
    <row r="2693" spans="1:6" ht="15.75" thickBot="1" x14ac:dyDescent="0.3">
      <c r="A2693" s="32" t="s">
        <v>297</v>
      </c>
      <c r="B2693" s="32" t="s">
        <v>298</v>
      </c>
      <c r="C2693" s="32" t="s">
        <v>129</v>
      </c>
      <c r="D2693" s="6" t="s">
        <v>188</v>
      </c>
      <c r="E2693" s="32" t="s">
        <v>262</v>
      </c>
      <c r="F2693" s="6"/>
    </row>
    <row r="2694" spans="1:6" ht="15.75" thickBot="1" x14ac:dyDescent="0.3">
      <c r="A2694" s="35" t="s">
        <v>31</v>
      </c>
      <c r="B2694" s="7" t="s">
        <v>32</v>
      </c>
      <c r="C2694" s="15">
        <v>45383</v>
      </c>
      <c r="D2694" s="35" t="s">
        <v>33</v>
      </c>
      <c r="E2694" s="7" t="s">
        <v>34</v>
      </c>
      <c r="F2694" s="6"/>
    </row>
    <row r="2695" spans="1:6" ht="15.75" thickBot="1" x14ac:dyDescent="0.3">
      <c r="A2695" s="36"/>
      <c r="B2695" s="7" t="s">
        <v>36</v>
      </c>
      <c r="C2695" s="5">
        <f>IF(C2694="","",IF(AND(MONTH(C2694)&gt;=1,MONTH(C2694)&lt;=3),1,IF(AND(MONTH(C2694)&gt;=4,MONTH(C2694)&lt;=6),2,IF(AND(MONTH(C2694)&gt;=7,MONTH(C2694)&lt;=9),3,4))))</f>
        <v>2</v>
      </c>
      <c r="D2695" s="36"/>
      <c r="E2695" s="7" t="s">
        <v>37</v>
      </c>
      <c r="F2695" s="6"/>
    </row>
    <row r="2696" spans="1:6" ht="15.75" thickBot="1" x14ac:dyDescent="0.3">
      <c r="A2696" s="36"/>
      <c r="B2696" s="7" t="s">
        <v>39</v>
      </c>
      <c r="C2696" s="15">
        <v>45473</v>
      </c>
      <c r="D2696" s="36"/>
      <c r="E2696" s="7" t="s">
        <v>40</v>
      </c>
      <c r="F2696" s="6"/>
    </row>
    <row r="2697" spans="1:6" ht="15.75" thickBot="1" x14ac:dyDescent="0.3">
      <c r="A2697" s="36"/>
      <c r="B2697" s="7" t="s">
        <v>36</v>
      </c>
      <c r="C2697" s="5">
        <f>IF(C2696="","",IF(AND(MONTH(C2696)&gt;=1,MONTH(C2696)&lt;=3),1,IF(AND(MONTH(C2696)&gt;=4,MONTH(C2696)&lt;=6),2,IF(AND(MONTH(C2696)&gt;=7,MONTH(C2696)&lt;=9),3,4))))</f>
        <v>2</v>
      </c>
      <c r="D2697" s="36"/>
      <c r="E2697" s="7" t="s">
        <v>41</v>
      </c>
      <c r="F2697" s="6"/>
    </row>
    <row r="2698" spans="1:6" ht="15.75" thickBot="1" x14ac:dyDescent="0.3">
      <c r="A2698" s="40"/>
      <c r="B2698" s="40"/>
      <c r="C2698" s="40"/>
      <c r="D2698" s="40"/>
      <c r="E2698" s="40"/>
      <c r="F2698" s="40"/>
    </row>
    <row r="2699" spans="1:6" ht="15.75" thickBot="1" x14ac:dyDescent="0.3">
      <c r="A2699" s="12" t="s">
        <v>42</v>
      </c>
      <c r="B2699" s="12" t="s">
        <v>43</v>
      </c>
      <c r="C2699" s="12" t="s">
        <v>44</v>
      </c>
      <c r="D2699" s="12" t="s">
        <v>45</v>
      </c>
      <c r="E2699" s="12" t="s">
        <v>46</v>
      </c>
      <c r="F2699" s="12" t="s">
        <v>47</v>
      </c>
    </row>
    <row r="2700" spans="1:6" x14ac:dyDescent="0.25">
      <c r="A2700" s="8">
        <v>72101601</v>
      </c>
      <c r="B2700" s="9" t="str">
        <f ca="1">IFERROR(INDEX(UNSPSCDes,MATCH(INDIRECT(ADDRESS(ROW(),COLUMN()-1,4)),UNSPSCCode,0)),"")</f>
        <v>Instalación o reparación de techos</v>
      </c>
      <c r="C2700" s="8" t="s">
        <v>55</v>
      </c>
      <c r="D2700" s="8">
        <v>1</v>
      </c>
      <c r="E2700" s="11">
        <v>198000</v>
      </c>
      <c r="F2700" s="10">
        <f ca="1">INDIRECT(ADDRESS(ROW(),COLUMN()-2,4))*INDIRECT(ADDRESS(ROW(),COLUMN()-1,4))</f>
        <v>198000</v>
      </c>
    </row>
    <row r="2701" spans="1:6" x14ac:dyDescent="0.25">
      <c r="A2701" s="40"/>
      <c r="B2701" s="40"/>
      <c r="C2701" s="40"/>
      <c r="D2701" s="40"/>
      <c r="E2701" s="13" t="s">
        <v>87</v>
      </c>
      <c r="F2701" s="14">
        <f ca="1">SUM(Table374[MONTO TOTAL ESTIMADO])</f>
        <v>198000</v>
      </c>
    </row>
    <row r="2702" spans="1:6" ht="15.75" thickBot="1" x14ac:dyDescent="0.3">
      <c r="A2702" s="42"/>
      <c r="B2702" s="42"/>
      <c r="C2702" s="42"/>
      <c r="D2702" s="42"/>
      <c r="E2702" s="42"/>
      <c r="F2702" s="42"/>
    </row>
    <row r="2703" spans="1:6" ht="23.25" thickBot="1" x14ac:dyDescent="0.3">
      <c r="A2703" s="4" t="s">
        <v>19</v>
      </c>
      <c r="B2703" s="4" t="s">
        <v>20</v>
      </c>
      <c r="C2703" s="4" t="s">
        <v>21</v>
      </c>
      <c r="D2703" s="4" t="s">
        <v>22</v>
      </c>
      <c r="E2703" s="4" t="s">
        <v>23</v>
      </c>
      <c r="F2703" s="4" t="s">
        <v>24</v>
      </c>
    </row>
    <row r="2704" spans="1:6" ht="15.75" thickBot="1" x14ac:dyDescent="0.3">
      <c r="A2704" s="32" t="s">
        <v>300</v>
      </c>
      <c r="B2704" s="32" t="s">
        <v>301</v>
      </c>
      <c r="C2704" s="32" t="s">
        <v>129</v>
      </c>
      <c r="D2704" s="6" t="s">
        <v>188</v>
      </c>
      <c r="E2704" s="32" t="s">
        <v>262</v>
      </c>
      <c r="F2704" s="6"/>
    </row>
    <row r="2705" spans="1:6" ht="15.75" thickBot="1" x14ac:dyDescent="0.3">
      <c r="A2705" s="35" t="s">
        <v>31</v>
      </c>
      <c r="B2705" s="7" t="s">
        <v>32</v>
      </c>
      <c r="C2705" s="15">
        <v>45383</v>
      </c>
      <c r="D2705" s="35" t="s">
        <v>33</v>
      </c>
      <c r="E2705" s="7" t="s">
        <v>34</v>
      </c>
      <c r="F2705" s="6"/>
    </row>
    <row r="2706" spans="1:6" ht="15.75" thickBot="1" x14ac:dyDescent="0.3">
      <c r="A2706" s="36"/>
      <c r="B2706" s="7" t="s">
        <v>36</v>
      </c>
      <c r="C2706" s="5">
        <f>IF(C2705="","",IF(AND(MONTH(C2705)&gt;=1,MONTH(C2705)&lt;=3),1,IF(AND(MONTH(C2705)&gt;=4,MONTH(C2705)&lt;=6),2,IF(AND(MONTH(C2705)&gt;=7,MONTH(C2705)&lt;=9),3,4))))</f>
        <v>2</v>
      </c>
      <c r="D2706" s="36"/>
      <c r="E2706" s="7" t="s">
        <v>37</v>
      </c>
      <c r="F2706" s="6"/>
    </row>
    <row r="2707" spans="1:6" ht="15.75" thickBot="1" x14ac:dyDescent="0.3">
      <c r="A2707" s="36"/>
      <c r="B2707" s="7" t="s">
        <v>39</v>
      </c>
      <c r="C2707" s="15">
        <v>45473</v>
      </c>
      <c r="D2707" s="36"/>
      <c r="E2707" s="7" t="s">
        <v>40</v>
      </c>
      <c r="F2707" s="6"/>
    </row>
    <row r="2708" spans="1:6" ht="15.75" thickBot="1" x14ac:dyDescent="0.3">
      <c r="A2708" s="36"/>
      <c r="B2708" s="7" t="s">
        <v>36</v>
      </c>
      <c r="C2708" s="5">
        <f>IF(C2707="","",IF(AND(MONTH(C2707)&gt;=1,MONTH(C2707)&lt;=3),1,IF(AND(MONTH(C2707)&gt;=4,MONTH(C2707)&lt;=6),2,IF(AND(MONTH(C2707)&gt;=7,MONTH(C2707)&lt;=9),3,4))))</f>
        <v>2</v>
      </c>
      <c r="D2708" s="36"/>
      <c r="E2708" s="7" t="s">
        <v>41</v>
      </c>
      <c r="F2708" s="6"/>
    </row>
    <row r="2709" spans="1:6" ht="15.75" thickBot="1" x14ac:dyDescent="0.3">
      <c r="A2709" s="40"/>
      <c r="B2709" s="40"/>
      <c r="C2709" s="40"/>
      <c r="D2709" s="40"/>
      <c r="E2709" s="40"/>
      <c r="F2709" s="40"/>
    </row>
    <row r="2710" spans="1:6" ht="15.75" thickBot="1" x14ac:dyDescent="0.3">
      <c r="A2710" s="12" t="s">
        <v>42</v>
      </c>
      <c r="B2710" s="12" t="s">
        <v>43</v>
      </c>
      <c r="C2710" s="12" t="s">
        <v>44</v>
      </c>
      <c r="D2710" s="12" t="s">
        <v>45</v>
      </c>
      <c r="E2710" s="12" t="s">
        <v>46</v>
      </c>
      <c r="F2710" s="12" t="s">
        <v>47</v>
      </c>
    </row>
    <row r="2711" spans="1:6" x14ac:dyDescent="0.25">
      <c r="A2711" s="8">
        <v>90101802</v>
      </c>
      <c r="B2711" s="9" t="str">
        <f ca="1">IFERROR(INDEX(UNSPSCDes,MATCH(INDIRECT(ADDRESS(ROW(),COLUMN()-1,4)),UNSPSCCode,0)),"")</f>
        <v>Servicios de comidas a domicilio</v>
      </c>
      <c r="C2711" s="8" t="s">
        <v>55</v>
      </c>
      <c r="D2711" s="8">
        <v>125</v>
      </c>
      <c r="E2711" s="11">
        <v>550</v>
      </c>
      <c r="F2711" s="10">
        <f ca="1">INDIRECT(ADDRESS(ROW(),COLUMN()-2,4))*INDIRECT(ADDRESS(ROW(),COLUMN()-1,4))</f>
        <v>68750</v>
      </c>
    </row>
    <row r="2712" spans="1:6" x14ac:dyDescent="0.25">
      <c r="A2712" s="8">
        <v>90101802</v>
      </c>
      <c r="B2712" s="9" t="str">
        <f ca="1">IFERROR(INDEX(UNSPSCDes,MATCH(INDIRECT(ADDRESS(ROW(),COLUMN()-1,4)),UNSPSCCode,0)),"")</f>
        <v>Servicios de comidas a domicilio</v>
      </c>
      <c r="C2712" s="33" t="s">
        <v>55</v>
      </c>
      <c r="D2712" s="8">
        <v>125</v>
      </c>
      <c r="E2712" s="11">
        <v>650</v>
      </c>
      <c r="F2712" s="10">
        <f ca="1">INDIRECT(ADDRESS(ROW(),COLUMN()-2,4))*INDIRECT(ADDRESS(ROW(),COLUMN()-1,4))</f>
        <v>81250</v>
      </c>
    </row>
    <row r="2713" spans="1:6" x14ac:dyDescent="0.25">
      <c r="A2713" s="40"/>
      <c r="B2713" s="40"/>
      <c r="C2713" s="40"/>
      <c r="D2713" s="40"/>
      <c r="E2713" s="13" t="s">
        <v>87</v>
      </c>
      <c r="F2713" s="14">
        <f ca="1">SUM(Table375[MONTO TOTAL ESTIMADO])</f>
        <v>150000</v>
      </c>
    </row>
    <row r="2714" spans="1:6" ht="15.75" thickBot="1" x14ac:dyDescent="0.3">
      <c r="A2714" s="42"/>
      <c r="B2714" s="42"/>
      <c r="C2714" s="42"/>
      <c r="D2714" s="42"/>
      <c r="E2714" s="42"/>
      <c r="F2714" s="42"/>
    </row>
    <row r="2715" spans="1:6" ht="23.25" thickBot="1" x14ac:dyDescent="0.3">
      <c r="A2715" s="4" t="s">
        <v>19</v>
      </c>
      <c r="B2715" s="4" t="s">
        <v>20</v>
      </c>
      <c r="C2715" s="4" t="s">
        <v>21</v>
      </c>
      <c r="D2715" s="4" t="s">
        <v>22</v>
      </c>
      <c r="E2715" s="4" t="s">
        <v>23</v>
      </c>
      <c r="F2715" s="4" t="s">
        <v>24</v>
      </c>
    </row>
    <row r="2716" spans="1:6" ht="15.75" thickBot="1" x14ac:dyDescent="0.3">
      <c r="A2716" s="32" t="s">
        <v>302</v>
      </c>
      <c r="B2716" s="32" t="s">
        <v>303</v>
      </c>
      <c r="C2716" s="32" t="s">
        <v>27</v>
      </c>
      <c r="D2716" s="6" t="s">
        <v>188</v>
      </c>
      <c r="E2716" s="32" t="s">
        <v>262</v>
      </c>
      <c r="F2716" s="6"/>
    </row>
    <row r="2717" spans="1:6" ht="15.75" thickBot="1" x14ac:dyDescent="0.3">
      <c r="A2717" s="35" t="s">
        <v>31</v>
      </c>
      <c r="B2717" s="7" t="s">
        <v>32</v>
      </c>
      <c r="C2717" s="15">
        <v>45383</v>
      </c>
      <c r="D2717" s="35" t="s">
        <v>33</v>
      </c>
      <c r="E2717" s="7" t="s">
        <v>34</v>
      </c>
      <c r="F2717" s="6"/>
    </row>
    <row r="2718" spans="1:6" ht="15.75" thickBot="1" x14ac:dyDescent="0.3">
      <c r="A2718" s="36"/>
      <c r="B2718" s="7" t="s">
        <v>36</v>
      </c>
      <c r="C2718" s="5">
        <f>IF(C2717="","",IF(AND(MONTH(C2717)&gt;=1,MONTH(C2717)&lt;=3),1,IF(AND(MONTH(C2717)&gt;=4,MONTH(C2717)&lt;=6),2,IF(AND(MONTH(C2717)&gt;=7,MONTH(C2717)&lt;=9),3,4))))</f>
        <v>2</v>
      </c>
      <c r="D2718" s="36"/>
      <c r="E2718" s="7" t="s">
        <v>37</v>
      </c>
      <c r="F2718" s="6"/>
    </row>
    <row r="2719" spans="1:6" ht="15.75" thickBot="1" x14ac:dyDescent="0.3">
      <c r="A2719" s="36"/>
      <c r="B2719" s="7" t="s">
        <v>39</v>
      </c>
      <c r="C2719" s="15">
        <v>45473</v>
      </c>
      <c r="D2719" s="36"/>
      <c r="E2719" s="7" t="s">
        <v>40</v>
      </c>
      <c r="F2719" s="6"/>
    </row>
    <row r="2720" spans="1:6" ht="15.75" thickBot="1" x14ac:dyDescent="0.3">
      <c r="A2720" s="36"/>
      <c r="B2720" s="7" t="s">
        <v>36</v>
      </c>
      <c r="C2720" s="5">
        <f>IF(C2719="","",IF(AND(MONTH(C2719)&gt;=1,MONTH(C2719)&lt;=3),1,IF(AND(MONTH(C2719)&gt;=4,MONTH(C2719)&lt;=6),2,IF(AND(MONTH(C2719)&gt;=7,MONTH(C2719)&lt;=9),3,4))))</f>
        <v>2</v>
      </c>
      <c r="D2720" s="36"/>
      <c r="E2720" s="7" t="s">
        <v>41</v>
      </c>
      <c r="F2720" s="6"/>
    </row>
    <row r="2721" spans="1:6" ht="15.75" thickBot="1" x14ac:dyDescent="0.3">
      <c r="A2721" s="40"/>
      <c r="B2721" s="40"/>
      <c r="C2721" s="40"/>
      <c r="D2721" s="40"/>
      <c r="E2721" s="40"/>
      <c r="F2721" s="40"/>
    </row>
    <row r="2722" spans="1:6" ht="15.75" thickBot="1" x14ac:dyDescent="0.3">
      <c r="A2722" s="12" t="s">
        <v>42</v>
      </c>
      <c r="B2722" s="12" t="s">
        <v>43</v>
      </c>
      <c r="C2722" s="12" t="s">
        <v>44</v>
      </c>
      <c r="D2722" s="12" t="s">
        <v>45</v>
      </c>
      <c r="E2722" s="12" t="s">
        <v>46</v>
      </c>
      <c r="F2722" s="12" t="s">
        <v>47</v>
      </c>
    </row>
    <row r="2723" spans="1:6" x14ac:dyDescent="0.25">
      <c r="A2723" s="41">
        <v>44122011</v>
      </c>
      <c r="B2723" s="9" t="str">
        <f ca="1">IFERROR(INDEX(UNSPSCDes,MATCH(INDIRECT(ADDRESS(ROW(),COLUMN()-1,4)),UNSPSCCode,0)),"")</f>
        <v>Folders</v>
      </c>
      <c r="C2723" s="8" t="s">
        <v>49</v>
      </c>
      <c r="D2723" s="8">
        <v>500</v>
      </c>
      <c r="E2723" s="11">
        <v>228.81</v>
      </c>
      <c r="F2723" s="10">
        <f ca="1">INDIRECT(ADDRESS(ROW(),COLUMN()-2,4))*INDIRECT(ADDRESS(ROW(),COLUMN()-1,4))</f>
        <v>114405</v>
      </c>
    </row>
    <row r="2724" spans="1:6" x14ac:dyDescent="0.25">
      <c r="A2724" s="40"/>
      <c r="B2724" s="40"/>
      <c r="C2724" s="40"/>
      <c r="D2724" s="40"/>
      <c r="E2724" s="13" t="s">
        <v>87</v>
      </c>
      <c r="F2724" s="14">
        <f ca="1">SUM(Table376[MONTO TOTAL ESTIMADO])</f>
        <v>114405</v>
      </c>
    </row>
    <row r="2725" spans="1:6" ht="15.75" thickBot="1" x14ac:dyDescent="0.3">
      <c r="A2725" s="42"/>
      <c r="B2725" s="42"/>
      <c r="C2725" s="42"/>
      <c r="D2725" s="42"/>
      <c r="E2725" s="42"/>
      <c r="F2725" s="42"/>
    </row>
    <row r="2726" spans="1:6" ht="23.25" thickBot="1" x14ac:dyDescent="0.3">
      <c r="A2726" s="4" t="s">
        <v>19</v>
      </c>
      <c r="B2726" s="4" t="s">
        <v>20</v>
      </c>
      <c r="C2726" s="4" t="s">
        <v>21</v>
      </c>
      <c r="D2726" s="4" t="s">
        <v>22</v>
      </c>
      <c r="E2726" s="4" t="s">
        <v>23</v>
      </c>
      <c r="F2726" s="4" t="s">
        <v>24</v>
      </c>
    </row>
    <row r="2727" spans="1:6" ht="15.75" thickBot="1" x14ac:dyDescent="0.3">
      <c r="A2727" s="32" t="s">
        <v>304</v>
      </c>
      <c r="B2727" s="32" t="s">
        <v>305</v>
      </c>
      <c r="C2727" s="32" t="s">
        <v>27</v>
      </c>
      <c r="D2727" s="6" t="s">
        <v>188</v>
      </c>
      <c r="E2727" s="32" t="s">
        <v>262</v>
      </c>
      <c r="F2727" s="6"/>
    </row>
    <row r="2728" spans="1:6" ht="15.75" thickBot="1" x14ac:dyDescent="0.3">
      <c r="A2728" s="35" t="s">
        <v>31</v>
      </c>
      <c r="B2728" s="7" t="s">
        <v>32</v>
      </c>
      <c r="C2728" s="15">
        <v>45383</v>
      </c>
      <c r="D2728" s="35" t="s">
        <v>33</v>
      </c>
      <c r="E2728" s="7" t="s">
        <v>34</v>
      </c>
      <c r="F2728" s="6"/>
    </row>
    <row r="2729" spans="1:6" ht="15.75" thickBot="1" x14ac:dyDescent="0.3">
      <c r="A2729" s="36"/>
      <c r="B2729" s="7" t="s">
        <v>36</v>
      </c>
      <c r="C2729" s="5">
        <f>IF(C2728="","",IF(AND(MONTH(C2728)&gt;=1,MONTH(C2728)&lt;=3),1,IF(AND(MONTH(C2728)&gt;=4,MONTH(C2728)&lt;=6),2,IF(AND(MONTH(C2728)&gt;=7,MONTH(C2728)&lt;=9),3,4))))</f>
        <v>2</v>
      </c>
      <c r="D2729" s="36"/>
      <c r="E2729" s="7" t="s">
        <v>37</v>
      </c>
      <c r="F2729" s="6"/>
    </row>
    <row r="2730" spans="1:6" ht="15.75" thickBot="1" x14ac:dyDescent="0.3">
      <c r="A2730" s="36"/>
      <c r="B2730" s="7" t="s">
        <v>39</v>
      </c>
      <c r="C2730" s="15">
        <v>45473</v>
      </c>
      <c r="D2730" s="36"/>
      <c r="E2730" s="7" t="s">
        <v>40</v>
      </c>
      <c r="F2730" s="6"/>
    </row>
    <row r="2731" spans="1:6" ht="15.75" thickBot="1" x14ac:dyDescent="0.3">
      <c r="A2731" s="36"/>
      <c r="B2731" s="7" t="s">
        <v>36</v>
      </c>
      <c r="C2731" s="5">
        <f>IF(C2730="","",IF(AND(MONTH(C2730)&gt;=1,MONTH(C2730)&lt;=3),1,IF(AND(MONTH(C2730)&gt;=4,MONTH(C2730)&lt;=6),2,IF(AND(MONTH(C2730)&gt;=7,MONTH(C2730)&lt;=9),3,4))))</f>
        <v>2</v>
      </c>
      <c r="D2731" s="36"/>
      <c r="E2731" s="7" t="s">
        <v>41</v>
      </c>
      <c r="F2731" s="6"/>
    </row>
    <row r="2732" spans="1:6" ht="15.75" thickBot="1" x14ac:dyDescent="0.3">
      <c r="A2732" s="40"/>
      <c r="B2732" s="40"/>
      <c r="C2732" s="40"/>
      <c r="D2732" s="40"/>
      <c r="E2732" s="40"/>
      <c r="F2732" s="40"/>
    </row>
    <row r="2733" spans="1:6" ht="15.75" thickBot="1" x14ac:dyDescent="0.3">
      <c r="A2733" s="12" t="s">
        <v>42</v>
      </c>
      <c r="B2733" s="12" t="s">
        <v>43</v>
      </c>
      <c r="C2733" s="12" t="s">
        <v>44</v>
      </c>
      <c r="D2733" s="12" t="s">
        <v>45</v>
      </c>
      <c r="E2733" s="12" t="s">
        <v>46</v>
      </c>
      <c r="F2733" s="12" t="s">
        <v>47</v>
      </c>
    </row>
    <row r="2734" spans="1:6" x14ac:dyDescent="0.25">
      <c r="A2734" s="8">
        <v>52131501</v>
      </c>
      <c r="B2734" s="9" t="str">
        <f ca="1">IFERROR(INDEX(UNSPSCDes,MATCH(INDIRECT(ADDRESS(ROW(),COLUMN()-1,4)),UNSPSCCode,0)),"")</f>
        <v>Cortinas</v>
      </c>
      <c r="C2734" s="8" t="s">
        <v>55</v>
      </c>
      <c r="D2734" s="8">
        <v>1</v>
      </c>
      <c r="E2734" s="11">
        <v>16800</v>
      </c>
      <c r="F2734" s="10">
        <f ca="1">INDIRECT(ADDRESS(ROW(),COLUMN()-2,4))*INDIRECT(ADDRESS(ROW(),COLUMN()-1,4))</f>
        <v>16800</v>
      </c>
    </row>
    <row r="2735" spans="1:6" x14ac:dyDescent="0.25">
      <c r="A2735" s="40"/>
      <c r="B2735" s="40"/>
      <c r="C2735" s="40"/>
      <c r="D2735" s="40"/>
      <c r="E2735" s="13" t="s">
        <v>87</v>
      </c>
      <c r="F2735" s="14">
        <f ca="1">SUM(Table377[MONTO TOTAL ESTIMADO])</f>
        <v>16800</v>
      </c>
    </row>
    <row r="2736" spans="1:6" ht="15.75" thickBot="1" x14ac:dyDescent="0.3">
      <c r="A2736" s="42"/>
      <c r="B2736" s="42"/>
      <c r="C2736" s="42"/>
      <c r="D2736" s="42"/>
      <c r="E2736" s="42"/>
      <c r="F2736" s="42"/>
    </row>
    <row r="2737" spans="1:6" ht="23.25" thickBot="1" x14ac:dyDescent="0.3">
      <c r="A2737" s="4" t="s">
        <v>19</v>
      </c>
      <c r="B2737" s="4" t="s">
        <v>20</v>
      </c>
      <c r="C2737" s="4" t="s">
        <v>21</v>
      </c>
      <c r="D2737" s="4" t="s">
        <v>22</v>
      </c>
      <c r="E2737" s="4" t="s">
        <v>23</v>
      </c>
      <c r="F2737" s="4" t="s">
        <v>24</v>
      </c>
    </row>
    <row r="2738" spans="1:6" ht="15.75" thickBot="1" x14ac:dyDescent="0.3">
      <c r="A2738" s="32" t="s">
        <v>307</v>
      </c>
      <c r="B2738" s="32" t="s">
        <v>308</v>
      </c>
      <c r="C2738" s="32" t="s">
        <v>27</v>
      </c>
      <c r="D2738" s="6" t="s">
        <v>28</v>
      </c>
      <c r="E2738" s="32" t="s">
        <v>262</v>
      </c>
      <c r="F2738" s="6"/>
    </row>
    <row r="2739" spans="1:6" ht="15.75" thickBot="1" x14ac:dyDescent="0.3">
      <c r="A2739" s="35" t="s">
        <v>31</v>
      </c>
      <c r="B2739" s="7" t="s">
        <v>32</v>
      </c>
      <c r="C2739" s="15">
        <v>45383</v>
      </c>
      <c r="D2739" s="35" t="s">
        <v>33</v>
      </c>
      <c r="E2739" s="7" t="s">
        <v>34</v>
      </c>
      <c r="F2739" s="6"/>
    </row>
    <row r="2740" spans="1:6" ht="15.75" thickBot="1" x14ac:dyDescent="0.3">
      <c r="A2740" s="36"/>
      <c r="B2740" s="7" t="s">
        <v>36</v>
      </c>
      <c r="C2740" s="5">
        <f>IF(C2739="","",IF(AND(MONTH(C2739)&gt;=1,MONTH(C2739)&lt;=3),1,IF(AND(MONTH(C2739)&gt;=4,MONTH(C2739)&lt;=6),2,IF(AND(MONTH(C2739)&gt;=7,MONTH(C2739)&lt;=9),3,4))))</f>
        <v>2</v>
      </c>
      <c r="D2740" s="36"/>
      <c r="E2740" s="7" t="s">
        <v>37</v>
      </c>
      <c r="F2740" s="6"/>
    </row>
    <row r="2741" spans="1:6" ht="15.75" thickBot="1" x14ac:dyDescent="0.3">
      <c r="A2741" s="36"/>
      <c r="B2741" s="7" t="s">
        <v>39</v>
      </c>
      <c r="C2741" s="15">
        <v>45473</v>
      </c>
      <c r="D2741" s="36"/>
      <c r="E2741" s="7" t="s">
        <v>40</v>
      </c>
      <c r="F2741" s="6"/>
    </row>
    <row r="2742" spans="1:6" ht="15.75" thickBot="1" x14ac:dyDescent="0.3">
      <c r="A2742" s="36"/>
      <c r="B2742" s="7" t="s">
        <v>36</v>
      </c>
      <c r="C2742" s="5">
        <f>IF(C2741="","",IF(AND(MONTH(C2741)&gt;=1,MONTH(C2741)&lt;=3),1,IF(AND(MONTH(C2741)&gt;=4,MONTH(C2741)&lt;=6),2,IF(AND(MONTH(C2741)&gt;=7,MONTH(C2741)&lt;=9),3,4))))</f>
        <v>2</v>
      </c>
      <c r="D2742" s="36"/>
      <c r="E2742" s="7" t="s">
        <v>41</v>
      </c>
      <c r="F2742" s="6"/>
    </row>
    <row r="2743" spans="1:6" ht="15.75" thickBot="1" x14ac:dyDescent="0.3">
      <c r="A2743" s="40"/>
      <c r="B2743" s="40"/>
      <c r="C2743" s="40"/>
      <c r="D2743" s="40"/>
      <c r="E2743" s="40"/>
      <c r="F2743" s="40"/>
    </row>
    <row r="2744" spans="1:6" ht="15.75" thickBot="1" x14ac:dyDescent="0.3">
      <c r="A2744" s="12" t="s">
        <v>42</v>
      </c>
      <c r="B2744" s="12" t="s">
        <v>43</v>
      </c>
      <c r="C2744" s="12" t="s">
        <v>44</v>
      </c>
      <c r="D2744" s="12" t="s">
        <v>45</v>
      </c>
      <c r="E2744" s="12" t="s">
        <v>46</v>
      </c>
      <c r="F2744" s="12" t="s">
        <v>47</v>
      </c>
    </row>
    <row r="2745" spans="1:6" x14ac:dyDescent="0.25">
      <c r="A2745" s="8">
        <v>52151504</v>
      </c>
      <c r="B2745" s="9" t="str">
        <f t="shared" ref="B2745:B2752" ca="1" si="7">IFERROR(INDEX(UNSPSCDes,MATCH(INDIRECT(ADDRESS(ROW(),COLUMN()-1,4)),UNSPSCCode,0)),"")</f>
        <v>Tazas o vasos o tapas desechables para uso doméstico</v>
      </c>
      <c r="C2745" s="8" t="s">
        <v>74</v>
      </c>
      <c r="D2745" s="8">
        <v>200</v>
      </c>
      <c r="E2745" s="11">
        <v>177.97</v>
      </c>
      <c r="F2745" s="10">
        <f t="shared" ref="F2745:F2752" ca="1" si="8">INDIRECT(ADDRESS(ROW(),COLUMN()-2,4))*INDIRECT(ADDRESS(ROW(),COLUMN()-1,4))</f>
        <v>35594</v>
      </c>
    </row>
    <row r="2746" spans="1:6" x14ac:dyDescent="0.25">
      <c r="A2746" s="8">
        <v>52151504</v>
      </c>
      <c r="B2746" s="9" t="str">
        <f t="shared" ca="1" si="7"/>
        <v>Tazas o vasos o tapas desechables para uso doméstico</v>
      </c>
      <c r="C2746" s="33" t="s">
        <v>74</v>
      </c>
      <c r="D2746" s="8">
        <v>1300</v>
      </c>
      <c r="E2746" s="11">
        <v>122.03</v>
      </c>
      <c r="F2746" s="10">
        <f t="shared" ca="1" si="8"/>
        <v>158639</v>
      </c>
    </row>
    <row r="2747" spans="1:6" x14ac:dyDescent="0.25">
      <c r="A2747" s="8">
        <v>52151504</v>
      </c>
      <c r="B2747" s="9" t="str">
        <f t="shared" ca="1" si="7"/>
        <v>Tazas o vasos o tapas desechables para uso doméstico</v>
      </c>
      <c r="C2747" s="33" t="s">
        <v>74</v>
      </c>
      <c r="D2747" s="8">
        <v>1200</v>
      </c>
      <c r="E2747" s="11">
        <v>142.37</v>
      </c>
      <c r="F2747" s="10">
        <f t="shared" ca="1" si="8"/>
        <v>170844</v>
      </c>
    </row>
    <row r="2748" spans="1:6" x14ac:dyDescent="0.25">
      <c r="A2748" s="8">
        <v>52151504</v>
      </c>
      <c r="B2748" s="9" t="str">
        <f t="shared" ca="1" si="7"/>
        <v>Tazas o vasos o tapas desechables para uso doméstico</v>
      </c>
      <c r="C2748" s="33" t="s">
        <v>74</v>
      </c>
      <c r="D2748" s="8">
        <v>100</v>
      </c>
      <c r="E2748" s="11">
        <v>162.71</v>
      </c>
      <c r="F2748" s="10">
        <f t="shared" ca="1" si="8"/>
        <v>16271</v>
      </c>
    </row>
    <row r="2749" spans="1:6" x14ac:dyDescent="0.25">
      <c r="A2749" s="8">
        <v>52151502</v>
      </c>
      <c r="B2749" s="9" t="str">
        <f t="shared" ca="1" si="7"/>
        <v>Platos desechables para uso doméstico</v>
      </c>
      <c r="C2749" s="33" t="s">
        <v>74</v>
      </c>
      <c r="D2749" s="8">
        <v>400</v>
      </c>
      <c r="E2749" s="11">
        <v>86.44</v>
      </c>
      <c r="F2749" s="10">
        <f t="shared" ca="1" si="8"/>
        <v>34576</v>
      </c>
    </row>
    <row r="2750" spans="1:6" x14ac:dyDescent="0.25">
      <c r="A2750" s="8">
        <v>52151502</v>
      </c>
      <c r="B2750" s="9" t="str">
        <f t="shared" ca="1" si="7"/>
        <v>Platos desechables para uso doméstico</v>
      </c>
      <c r="C2750" s="33" t="s">
        <v>74</v>
      </c>
      <c r="D2750" s="8">
        <v>800</v>
      </c>
      <c r="E2750" s="11">
        <v>122.03</v>
      </c>
      <c r="F2750" s="10">
        <f t="shared" ca="1" si="8"/>
        <v>97624</v>
      </c>
    </row>
    <row r="2751" spans="1:6" x14ac:dyDescent="0.25">
      <c r="A2751" s="8">
        <v>52151503</v>
      </c>
      <c r="B2751" s="9" t="str">
        <f t="shared" ca="1" si="7"/>
        <v>Cubiertos desechables para uso doméstico</v>
      </c>
      <c r="C2751" s="33" t="s">
        <v>74</v>
      </c>
      <c r="D2751" s="8">
        <v>1500</v>
      </c>
      <c r="E2751" s="11">
        <v>76.27</v>
      </c>
      <c r="F2751" s="10">
        <f t="shared" ca="1" si="8"/>
        <v>114405</v>
      </c>
    </row>
    <row r="2752" spans="1:6" x14ac:dyDescent="0.25">
      <c r="A2752" s="8">
        <v>52151503</v>
      </c>
      <c r="B2752" s="9" t="str">
        <f t="shared" ca="1" si="7"/>
        <v>Cubiertos desechables para uso doméstico</v>
      </c>
      <c r="C2752" s="33" t="s">
        <v>74</v>
      </c>
      <c r="D2752" s="8">
        <v>1500</v>
      </c>
      <c r="E2752" s="11">
        <v>76.27</v>
      </c>
      <c r="F2752" s="10">
        <f t="shared" ca="1" si="8"/>
        <v>114405</v>
      </c>
    </row>
    <row r="2753" spans="1:6" x14ac:dyDescent="0.25">
      <c r="A2753" s="40"/>
      <c r="B2753" s="40"/>
      <c r="C2753" s="40"/>
      <c r="D2753" s="40"/>
      <c r="E2753" s="13" t="s">
        <v>87</v>
      </c>
      <c r="F2753" s="14">
        <f ca="1">SUM(Table378[MONTO TOTAL ESTIMADO])</f>
        <v>742358</v>
      </c>
    </row>
    <row r="2754" spans="1:6" ht="15.75" thickBot="1" x14ac:dyDescent="0.3">
      <c r="A2754" s="42"/>
      <c r="B2754" s="42"/>
      <c r="C2754" s="42"/>
      <c r="D2754" s="42"/>
      <c r="E2754" s="42"/>
      <c r="F2754" s="42"/>
    </row>
    <row r="2755" spans="1:6" ht="23.25" thickBot="1" x14ac:dyDescent="0.3">
      <c r="A2755" s="4" t="s">
        <v>19</v>
      </c>
      <c r="B2755" s="4" t="s">
        <v>20</v>
      </c>
      <c r="C2755" s="4" t="s">
        <v>21</v>
      </c>
      <c r="D2755" s="4" t="s">
        <v>22</v>
      </c>
      <c r="E2755" s="4" t="s">
        <v>23</v>
      </c>
      <c r="F2755" s="4" t="s">
        <v>24</v>
      </c>
    </row>
    <row r="2756" spans="1:6" ht="15.75" thickBot="1" x14ac:dyDescent="0.3">
      <c r="A2756" s="32" t="s">
        <v>310</v>
      </c>
      <c r="B2756" s="32" t="s">
        <v>311</v>
      </c>
      <c r="C2756" s="6" t="s">
        <v>27</v>
      </c>
      <c r="D2756" s="6" t="s">
        <v>188</v>
      </c>
      <c r="E2756" s="32" t="s">
        <v>262</v>
      </c>
      <c r="F2756" s="6"/>
    </row>
    <row r="2757" spans="1:6" ht="15.75" thickBot="1" x14ac:dyDescent="0.3">
      <c r="A2757" s="35" t="s">
        <v>31</v>
      </c>
      <c r="B2757" s="7" t="s">
        <v>32</v>
      </c>
      <c r="C2757" s="15">
        <v>45383</v>
      </c>
      <c r="D2757" s="35" t="s">
        <v>33</v>
      </c>
      <c r="E2757" s="7" t="s">
        <v>34</v>
      </c>
      <c r="F2757" s="6"/>
    </row>
    <row r="2758" spans="1:6" ht="15.75" thickBot="1" x14ac:dyDescent="0.3">
      <c r="A2758" s="36"/>
      <c r="B2758" s="7" t="s">
        <v>36</v>
      </c>
      <c r="C2758" s="5">
        <f>IF(C2757="","",IF(AND(MONTH(C2757)&gt;=1,MONTH(C2757)&lt;=3),1,IF(AND(MONTH(C2757)&gt;=4,MONTH(C2757)&lt;=6),2,IF(AND(MONTH(C2757)&gt;=7,MONTH(C2757)&lt;=9),3,4))))</f>
        <v>2</v>
      </c>
      <c r="D2758" s="36"/>
      <c r="E2758" s="7" t="s">
        <v>37</v>
      </c>
      <c r="F2758" s="6"/>
    </row>
    <row r="2759" spans="1:6" ht="15.75" thickBot="1" x14ac:dyDescent="0.3">
      <c r="A2759" s="36"/>
      <c r="B2759" s="7" t="s">
        <v>39</v>
      </c>
      <c r="C2759" s="15">
        <v>45473</v>
      </c>
      <c r="D2759" s="36"/>
      <c r="E2759" s="7" t="s">
        <v>40</v>
      </c>
      <c r="F2759" s="6"/>
    </row>
    <row r="2760" spans="1:6" ht="15.75" thickBot="1" x14ac:dyDescent="0.3">
      <c r="A2760" s="36"/>
      <c r="B2760" s="7" t="s">
        <v>36</v>
      </c>
      <c r="C2760" s="5">
        <f>IF(C2759="","",IF(AND(MONTH(C2759)&gt;=1,MONTH(C2759)&lt;=3),1,IF(AND(MONTH(C2759)&gt;=4,MONTH(C2759)&lt;=6),2,IF(AND(MONTH(C2759)&gt;=7,MONTH(C2759)&lt;=9),3,4))))</f>
        <v>2</v>
      </c>
      <c r="D2760" s="36"/>
      <c r="E2760" s="7" t="s">
        <v>41</v>
      </c>
      <c r="F2760" s="6"/>
    </row>
    <row r="2761" spans="1:6" ht="15.75" thickBot="1" x14ac:dyDescent="0.3">
      <c r="A2761" s="40"/>
      <c r="B2761" s="40"/>
      <c r="C2761" s="40"/>
      <c r="D2761" s="40"/>
      <c r="E2761" s="40"/>
      <c r="F2761" s="40"/>
    </row>
    <row r="2762" spans="1:6" ht="15.75" thickBot="1" x14ac:dyDescent="0.3">
      <c r="A2762" s="12" t="s">
        <v>42</v>
      </c>
      <c r="B2762" s="12" t="s">
        <v>43</v>
      </c>
      <c r="C2762" s="12" t="s">
        <v>44</v>
      </c>
      <c r="D2762" s="12" t="s">
        <v>45</v>
      </c>
      <c r="E2762" s="12" t="s">
        <v>46</v>
      </c>
      <c r="F2762" s="12" t="s">
        <v>47</v>
      </c>
    </row>
    <row r="2763" spans="1:6" x14ac:dyDescent="0.25">
      <c r="A2763" s="8">
        <v>45111501</v>
      </c>
      <c r="B2763" s="9" t="str">
        <f ca="1">IFERROR(INDEX(UNSPSCDes,MATCH(INDIRECT(ADDRESS(ROW(),COLUMN()-1,4)),UNSPSCCode,0)),"")</f>
        <v>Atriles autónomos</v>
      </c>
      <c r="C2763" s="33" t="s">
        <v>55</v>
      </c>
      <c r="D2763" s="8">
        <v>12</v>
      </c>
      <c r="E2763" s="11">
        <v>9800</v>
      </c>
      <c r="F2763" s="10">
        <f ca="1">INDIRECT(ADDRESS(ROW(),COLUMN()-2,4))*INDIRECT(ADDRESS(ROW(),COLUMN()-1,4))</f>
        <v>117600</v>
      </c>
    </row>
    <row r="2764" spans="1:6" x14ac:dyDescent="0.25">
      <c r="A2764" s="40"/>
      <c r="B2764" s="40"/>
      <c r="C2764" s="40"/>
      <c r="D2764" s="40"/>
      <c r="E2764" s="13" t="s">
        <v>87</v>
      </c>
      <c r="F2764" s="14">
        <f ca="1">SUM(Table379[MONTO TOTAL ESTIMADO])</f>
        <v>117600</v>
      </c>
    </row>
    <row r="2765" spans="1:6" ht="15.75" thickBot="1" x14ac:dyDescent="0.3">
      <c r="A2765" s="42"/>
      <c r="B2765" s="42"/>
      <c r="C2765" s="42"/>
      <c r="D2765" s="42"/>
      <c r="E2765" s="42"/>
      <c r="F2765" s="42"/>
    </row>
    <row r="2766" spans="1:6" ht="23.25" thickBot="1" x14ac:dyDescent="0.3">
      <c r="A2766" s="4" t="s">
        <v>19</v>
      </c>
      <c r="B2766" s="4" t="s">
        <v>20</v>
      </c>
      <c r="C2766" s="4" t="s">
        <v>21</v>
      </c>
      <c r="D2766" s="4" t="s">
        <v>22</v>
      </c>
      <c r="E2766" s="4" t="s">
        <v>23</v>
      </c>
      <c r="F2766" s="4" t="s">
        <v>24</v>
      </c>
    </row>
    <row r="2767" spans="1:6" ht="15.75" thickBot="1" x14ac:dyDescent="0.3">
      <c r="A2767" s="32" t="s">
        <v>313</v>
      </c>
      <c r="B2767" s="32" t="s">
        <v>314</v>
      </c>
      <c r="C2767" s="32" t="s">
        <v>129</v>
      </c>
      <c r="D2767" s="6" t="s">
        <v>28</v>
      </c>
      <c r="E2767" s="32" t="s">
        <v>29</v>
      </c>
      <c r="F2767" s="6"/>
    </row>
    <row r="2768" spans="1:6" ht="15.75" thickBot="1" x14ac:dyDescent="0.3">
      <c r="A2768" s="35" t="s">
        <v>31</v>
      </c>
      <c r="B2768" s="7" t="s">
        <v>32</v>
      </c>
      <c r="C2768" s="15">
        <v>45383</v>
      </c>
      <c r="D2768" s="35" t="s">
        <v>33</v>
      </c>
      <c r="E2768" s="7" t="s">
        <v>34</v>
      </c>
      <c r="F2768" s="6"/>
    </row>
    <row r="2769" spans="1:6" ht="15.75" thickBot="1" x14ac:dyDescent="0.3">
      <c r="A2769" s="36"/>
      <c r="B2769" s="7" t="s">
        <v>36</v>
      </c>
      <c r="C2769" s="5">
        <f>IF(C2768="","",IF(AND(MONTH(C2768)&gt;=1,MONTH(C2768)&lt;=3),1,IF(AND(MONTH(C2768)&gt;=4,MONTH(C2768)&lt;=6),2,IF(AND(MONTH(C2768)&gt;=7,MONTH(C2768)&lt;=9),3,4))))</f>
        <v>2</v>
      </c>
      <c r="D2769" s="36"/>
      <c r="E2769" s="7" t="s">
        <v>37</v>
      </c>
      <c r="F2769" s="6"/>
    </row>
    <row r="2770" spans="1:6" ht="15.75" thickBot="1" x14ac:dyDescent="0.3">
      <c r="A2770" s="36"/>
      <c r="B2770" s="7" t="s">
        <v>39</v>
      </c>
      <c r="C2770" s="15">
        <v>45473</v>
      </c>
      <c r="D2770" s="36"/>
      <c r="E2770" s="7" t="s">
        <v>40</v>
      </c>
      <c r="F2770" s="6"/>
    </row>
    <row r="2771" spans="1:6" ht="15.75" thickBot="1" x14ac:dyDescent="0.3">
      <c r="A2771" s="36"/>
      <c r="B2771" s="7" t="s">
        <v>36</v>
      </c>
      <c r="C2771" s="5">
        <f>IF(C2770="","",IF(AND(MONTH(C2770)&gt;=1,MONTH(C2770)&lt;=3),1,IF(AND(MONTH(C2770)&gt;=4,MONTH(C2770)&lt;=6),2,IF(AND(MONTH(C2770)&gt;=7,MONTH(C2770)&lt;=9),3,4))))</f>
        <v>2</v>
      </c>
      <c r="D2771" s="36"/>
      <c r="E2771" s="7" t="s">
        <v>41</v>
      </c>
      <c r="F2771" s="6"/>
    </row>
    <row r="2772" spans="1:6" ht="15.75" thickBot="1" x14ac:dyDescent="0.3">
      <c r="A2772" s="40"/>
      <c r="B2772" s="40"/>
      <c r="C2772" s="40"/>
      <c r="D2772" s="40"/>
      <c r="E2772" s="40"/>
      <c r="F2772" s="40"/>
    </row>
    <row r="2773" spans="1:6" ht="15.75" thickBot="1" x14ac:dyDescent="0.3">
      <c r="A2773" s="12" t="s">
        <v>42</v>
      </c>
      <c r="B2773" s="12" t="s">
        <v>43</v>
      </c>
      <c r="C2773" s="12" t="s">
        <v>44</v>
      </c>
      <c r="D2773" s="12" t="s">
        <v>45</v>
      </c>
      <c r="E2773" s="12" t="s">
        <v>46</v>
      </c>
      <c r="F2773" s="12" t="s">
        <v>47</v>
      </c>
    </row>
    <row r="2774" spans="1:6" x14ac:dyDescent="0.25">
      <c r="A2774" s="8">
        <v>86101701</v>
      </c>
      <c r="B2774" s="9" t="str">
        <f ca="1">IFERROR(INDEX(UNSPSCDes,MATCH(INDIRECT(ADDRESS(ROW(),COLUMN()-1,4)),UNSPSCCode,0)),"")</f>
        <v>Servicios de formación profesional en comunicaciones</v>
      </c>
      <c r="C2774" s="8" t="s">
        <v>55</v>
      </c>
      <c r="D2774" s="8">
        <v>1</v>
      </c>
      <c r="E2774" s="11">
        <v>750000</v>
      </c>
      <c r="F2774" s="10">
        <f ca="1">INDIRECT(ADDRESS(ROW(),COLUMN()-2,4))*INDIRECT(ADDRESS(ROW(),COLUMN()-1,4))</f>
        <v>750000</v>
      </c>
    </row>
    <row r="2775" spans="1:6" x14ac:dyDescent="0.25">
      <c r="A2775" s="40"/>
      <c r="B2775" s="40"/>
      <c r="C2775" s="40"/>
      <c r="D2775" s="40"/>
      <c r="E2775" s="13" t="s">
        <v>87</v>
      </c>
      <c r="F2775" s="14">
        <f ca="1">SUM(Table380[MONTO TOTAL ESTIMADO])</f>
        <v>750000</v>
      </c>
    </row>
    <row r="2776" spans="1:6" ht="15.75" thickBot="1" x14ac:dyDescent="0.3">
      <c r="A2776" s="42"/>
      <c r="B2776" s="42"/>
      <c r="C2776" s="42"/>
      <c r="D2776" s="42"/>
      <c r="E2776" s="42"/>
      <c r="F2776" s="42"/>
    </row>
    <row r="2777" spans="1:6" ht="23.25" thickBot="1" x14ac:dyDescent="0.3">
      <c r="A2777" s="4" t="s">
        <v>19</v>
      </c>
      <c r="B2777" s="4" t="s">
        <v>20</v>
      </c>
      <c r="C2777" s="4" t="s">
        <v>21</v>
      </c>
      <c r="D2777" s="4" t="s">
        <v>22</v>
      </c>
      <c r="E2777" s="4" t="s">
        <v>23</v>
      </c>
      <c r="F2777" s="4" t="s">
        <v>24</v>
      </c>
    </row>
    <row r="2778" spans="1:6" ht="15.75" thickBot="1" x14ac:dyDescent="0.3">
      <c r="A2778" s="32" t="s">
        <v>316</v>
      </c>
      <c r="B2778" s="32" t="s">
        <v>317</v>
      </c>
      <c r="C2778" s="32" t="s">
        <v>129</v>
      </c>
      <c r="D2778" s="6" t="s">
        <v>28</v>
      </c>
      <c r="E2778" s="6" t="s">
        <v>262</v>
      </c>
      <c r="F2778" s="6"/>
    </row>
    <row r="2779" spans="1:6" ht="15.75" thickBot="1" x14ac:dyDescent="0.3">
      <c r="A2779" s="35" t="s">
        <v>31</v>
      </c>
      <c r="B2779" s="7" t="s">
        <v>32</v>
      </c>
      <c r="C2779" s="15">
        <v>45383</v>
      </c>
      <c r="D2779" s="35" t="s">
        <v>33</v>
      </c>
      <c r="E2779" s="7" t="s">
        <v>34</v>
      </c>
      <c r="F2779" s="6"/>
    </row>
    <row r="2780" spans="1:6" ht="15.75" thickBot="1" x14ac:dyDescent="0.3">
      <c r="A2780" s="36"/>
      <c r="B2780" s="7" t="s">
        <v>36</v>
      </c>
      <c r="C2780" s="5">
        <f>IF(C2779="","",IF(AND(MONTH(C2779)&gt;=1,MONTH(C2779)&lt;=3),1,IF(AND(MONTH(C2779)&gt;=4,MONTH(C2779)&lt;=6),2,IF(AND(MONTH(C2779)&gt;=7,MONTH(C2779)&lt;=9),3,4))))</f>
        <v>2</v>
      </c>
      <c r="D2780" s="36"/>
      <c r="E2780" s="7" t="s">
        <v>37</v>
      </c>
      <c r="F2780" s="6"/>
    </row>
    <row r="2781" spans="1:6" ht="15.75" thickBot="1" x14ac:dyDescent="0.3">
      <c r="A2781" s="36"/>
      <c r="B2781" s="7" t="s">
        <v>39</v>
      </c>
      <c r="C2781" s="15">
        <v>45473</v>
      </c>
      <c r="D2781" s="36"/>
      <c r="E2781" s="7" t="s">
        <v>40</v>
      </c>
      <c r="F2781" s="6"/>
    </row>
    <row r="2782" spans="1:6" ht="15.75" thickBot="1" x14ac:dyDescent="0.3">
      <c r="A2782" s="36"/>
      <c r="B2782" s="7" t="s">
        <v>36</v>
      </c>
      <c r="C2782" s="5">
        <f>IF(C2781="","",IF(AND(MONTH(C2781)&gt;=1,MONTH(C2781)&lt;=3),1,IF(AND(MONTH(C2781)&gt;=4,MONTH(C2781)&lt;=6),2,IF(AND(MONTH(C2781)&gt;=7,MONTH(C2781)&lt;=9),3,4))))</f>
        <v>2</v>
      </c>
      <c r="D2782" s="36"/>
      <c r="E2782" s="7" t="s">
        <v>41</v>
      </c>
      <c r="F2782" s="6"/>
    </row>
    <row r="2783" spans="1:6" ht="15.75" thickBot="1" x14ac:dyDescent="0.3">
      <c r="A2783" s="40"/>
      <c r="B2783" s="40"/>
      <c r="C2783" s="40"/>
      <c r="D2783" s="40"/>
      <c r="E2783" s="40"/>
      <c r="F2783" s="40"/>
    </row>
    <row r="2784" spans="1:6" ht="15.75" thickBot="1" x14ac:dyDescent="0.3">
      <c r="A2784" s="12" t="s">
        <v>42</v>
      </c>
      <c r="B2784" s="12" t="s">
        <v>43</v>
      </c>
      <c r="C2784" s="12" t="s">
        <v>44</v>
      </c>
      <c r="D2784" s="12" t="s">
        <v>45</v>
      </c>
      <c r="E2784" s="12" t="s">
        <v>46</v>
      </c>
      <c r="F2784" s="12" t="s">
        <v>47</v>
      </c>
    </row>
    <row r="2785" spans="1:6" x14ac:dyDescent="0.25">
      <c r="A2785" s="8">
        <v>73151606</v>
      </c>
      <c r="B2785" s="9" t="str">
        <f ca="1">IFERROR(INDEX(UNSPSCDes,MATCH(INDIRECT(ADDRESS(ROW(),COLUMN()-1,4)),UNSPSCCode,0)),"")</f>
        <v>Servicios de empacado a mano</v>
      </c>
      <c r="C2785" s="8" t="s">
        <v>55</v>
      </c>
      <c r="D2785" s="8">
        <v>1</v>
      </c>
      <c r="E2785" s="11">
        <v>1215000</v>
      </c>
      <c r="F2785" s="10">
        <f ca="1">INDIRECT(ADDRESS(ROW(),COLUMN()-2,4))*INDIRECT(ADDRESS(ROW(),COLUMN()-1,4))</f>
        <v>1215000</v>
      </c>
    </row>
    <row r="2786" spans="1:6" x14ac:dyDescent="0.25">
      <c r="A2786" s="40"/>
      <c r="B2786" s="40"/>
      <c r="C2786" s="40"/>
      <c r="D2786" s="40"/>
      <c r="E2786" s="13" t="s">
        <v>87</v>
      </c>
      <c r="F2786" s="14">
        <f ca="1">SUM(Table381[MONTO TOTAL ESTIMADO])</f>
        <v>1215000</v>
      </c>
    </row>
    <row r="2787" spans="1:6" ht="15.75" thickBot="1" x14ac:dyDescent="0.3">
      <c r="A2787" s="42"/>
      <c r="B2787" s="42"/>
      <c r="C2787" s="42"/>
      <c r="D2787" s="42"/>
      <c r="E2787" s="42"/>
      <c r="F2787" s="42"/>
    </row>
    <row r="2788" spans="1:6" ht="23.25" thickBot="1" x14ac:dyDescent="0.3">
      <c r="A2788" s="4" t="s">
        <v>19</v>
      </c>
      <c r="B2788" s="4" t="s">
        <v>20</v>
      </c>
      <c r="C2788" s="4" t="s">
        <v>21</v>
      </c>
      <c r="D2788" s="4" t="s">
        <v>22</v>
      </c>
      <c r="E2788" s="4" t="s">
        <v>23</v>
      </c>
      <c r="F2788" s="4" t="s">
        <v>24</v>
      </c>
    </row>
    <row r="2789" spans="1:6" ht="15.75" thickBot="1" x14ac:dyDescent="0.3">
      <c r="A2789" s="32" t="s">
        <v>319</v>
      </c>
      <c r="B2789" s="32" t="s">
        <v>320</v>
      </c>
      <c r="C2789" s="32" t="s">
        <v>27</v>
      </c>
      <c r="D2789" s="6" t="s">
        <v>188</v>
      </c>
      <c r="E2789" s="6" t="s">
        <v>262</v>
      </c>
      <c r="F2789" s="6"/>
    </row>
    <row r="2790" spans="1:6" ht="15.75" thickBot="1" x14ac:dyDescent="0.3">
      <c r="A2790" s="35" t="s">
        <v>31</v>
      </c>
      <c r="B2790" s="7" t="s">
        <v>32</v>
      </c>
      <c r="C2790" s="15">
        <v>45383</v>
      </c>
      <c r="D2790" s="35" t="s">
        <v>33</v>
      </c>
      <c r="E2790" s="7" t="s">
        <v>34</v>
      </c>
      <c r="F2790" s="6"/>
    </row>
    <row r="2791" spans="1:6" ht="15.75" thickBot="1" x14ac:dyDescent="0.3">
      <c r="A2791" s="36"/>
      <c r="B2791" s="7" t="s">
        <v>36</v>
      </c>
      <c r="C2791" s="5">
        <f>IF(C2790="","",IF(AND(MONTH(C2790)&gt;=1,MONTH(C2790)&lt;=3),1,IF(AND(MONTH(C2790)&gt;=4,MONTH(C2790)&lt;=6),2,IF(AND(MONTH(C2790)&gt;=7,MONTH(C2790)&lt;=9),3,4))))</f>
        <v>2</v>
      </c>
      <c r="D2791" s="36"/>
      <c r="E2791" s="7" t="s">
        <v>37</v>
      </c>
      <c r="F2791" s="6"/>
    </row>
    <row r="2792" spans="1:6" ht="15.75" thickBot="1" x14ac:dyDescent="0.3">
      <c r="A2792" s="36"/>
      <c r="B2792" s="7" t="s">
        <v>39</v>
      </c>
      <c r="C2792" s="15">
        <v>45473</v>
      </c>
      <c r="D2792" s="36"/>
      <c r="E2792" s="7" t="s">
        <v>40</v>
      </c>
      <c r="F2792" s="6"/>
    </row>
    <row r="2793" spans="1:6" ht="15.75" thickBot="1" x14ac:dyDescent="0.3">
      <c r="A2793" s="36"/>
      <c r="B2793" s="7" t="s">
        <v>36</v>
      </c>
      <c r="C2793" s="5">
        <f>IF(C2792="","",IF(AND(MONTH(C2792)&gt;=1,MONTH(C2792)&lt;=3),1,IF(AND(MONTH(C2792)&gt;=4,MONTH(C2792)&lt;=6),2,IF(AND(MONTH(C2792)&gt;=7,MONTH(C2792)&lt;=9),3,4))))</f>
        <v>2</v>
      </c>
      <c r="D2793" s="36"/>
      <c r="E2793" s="7" t="s">
        <v>41</v>
      </c>
      <c r="F2793" s="6"/>
    </row>
    <row r="2794" spans="1:6" ht="15.75" thickBot="1" x14ac:dyDescent="0.3">
      <c r="A2794" s="40"/>
      <c r="B2794" s="40"/>
      <c r="C2794" s="40"/>
      <c r="D2794" s="40"/>
      <c r="E2794" s="40"/>
      <c r="F2794" s="40"/>
    </row>
    <row r="2795" spans="1:6" ht="15.75" thickBot="1" x14ac:dyDescent="0.3">
      <c r="A2795" s="12" t="s">
        <v>42</v>
      </c>
      <c r="B2795" s="12" t="s">
        <v>43</v>
      </c>
      <c r="C2795" s="12" t="s">
        <v>44</v>
      </c>
      <c r="D2795" s="12" t="s">
        <v>45</v>
      </c>
      <c r="E2795" s="12" t="s">
        <v>46</v>
      </c>
      <c r="F2795" s="12" t="s">
        <v>47</v>
      </c>
    </row>
    <row r="2796" spans="1:6" x14ac:dyDescent="0.25">
      <c r="A2796" s="8">
        <v>52141526</v>
      </c>
      <c r="B2796" s="9" t="str">
        <f ca="1">IFERROR(INDEX(UNSPSCDes,MATCH(INDIRECT(ADDRESS(ROW(),COLUMN()-1,4)),UNSPSCCode,0)),"")</f>
        <v>Cafeteras para uso doméstico</v>
      </c>
      <c r="C2796" s="33" t="s">
        <v>55</v>
      </c>
      <c r="D2796" s="8">
        <v>4</v>
      </c>
      <c r="E2796" s="11">
        <v>29500</v>
      </c>
      <c r="F2796" s="10">
        <f ca="1">INDIRECT(ADDRESS(ROW(),COLUMN()-2,4))*INDIRECT(ADDRESS(ROW(),COLUMN()-1,4))</f>
        <v>118000</v>
      </c>
    </row>
    <row r="2797" spans="1:6" x14ac:dyDescent="0.25">
      <c r="A2797" s="40"/>
      <c r="B2797" s="40"/>
      <c r="C2797" s="40"/>
      <c r="D2797" s="40"/>
      <c r="E2797" s="13" t="s">
        <v>87</v>
      </c>
      <c r="F2797" s="14">
        <f ca="1">SUM(Table382[MONTO TOTAL ESTIMADO])</f>
        <v>118000</v>
      </c>
    </row>
    <row r="2798" spans="1:6" ht="15.75" thickBot="1" x14ac:dyDescent="0.3">
      <c r="A2798" s="42"/>
      <c r="B2798" s="42"/>
      <c r="C2798" s="42"/>
      <c r="D2798" s="42"/>
      <c r="E2798" s="42"/>
      <c r="F2798" s="42"/>
    </row>
    <row r="2799" spans="1:6" ht="23.25" thickBot="1" x14ac:dyDescent="0.3">
      <c r="A2799" s="4" t="s">
        <v>19</v>
      </c>
      <c r="B2799" s="4" t="s">
        <v>20</v>
      </c>
      <c r="C2799" s="4" t="s">
        <v>21</v>
      </c>
      <c r="D2799" s="4" t="s">
        <v>22</v>
      </c>
      <c r="E2799" s="4" t="s">
        <v>23</v>
      </c>
      <c r="F2799" s="4" t="s">
        <v>24</v>
      </c>
    </row>
    <row r="2800" spans="1:6" ht="15.75" thickBot="1" x14ac:dyDescent="0.3">
      <c r="A2800" s="32" t="s">
        <v>322</v>
      </c>
      <c r="B2800" s="32" t="s">
        <v>323</v>
      </c>
      <c r="C2800" s="32" t="s">
        <v>27</v>
      </c>
      <c r="D2800" s="6" t="s">
        <v>28</v>
      </c>
      <c r="E2800" s="6" t="s">
        <v>262</v>
      </c>
      <c r="F2800" s="6"/>
    </row>
    <row r="2801" spans="1:6" ht="15.75" thickBot="1" x14ac:dyDescent="0.3">
      <c r="A2801" s="35" t="s">
        <v>31</v>
      </c>
      <c r="B2801" s="7" t="s">
        <v>32</v>
      </c>
      <c r="C2801" s="15">
        <v>45383</v>
      </c>
      <c r="D2801" s="35" t="s">
        <v>33</v>
      </c>
      <c r="E2801" s="7" t="s">
        <v>34</v>
      </c>
      <c r="F2801" s="6"/>
    </row>
    <row r="2802" spans="1:6" ht="15.75" thickBot="1" x14ac:dyDescent="0.3">
      <c r="A2802" s="36"/>
      <c r="B2802" s="7" t="s">
        <v>36</v>
      </c>
      <c r="C2802" s="5">
        <f>IF(C2801="","",IF(AND(MONTH(C2801)&gt;=1,MONTH(C2801)&lt;=3),1,IF(AND(MONTH(C2801)&gt;=4,MONTH(C2801)&lt;=6),2,IF(AND(MONTH(C2801)&gt;=7,MONTH(C2801)&lt;=9),3,4))))</f>
        <v>2</v>
      </c>
      <c r="D2802" s="36"/>
      <c r="E2802" s="7" t="s">
        <v>37</v>
      </c>
      <c r="F2802" s="6"/>
    </row>
    <row r="2803" spans="1:6" ht="15.75" thickBot="1" x14ac:dyDescent="0.3">
      <c r="A2803" s="36"/>
      <c r="B2803" s="7" t="s">
        <v>39</v>
      </c>
      <c r="C2803" s="15">
        <v>45473</v>
      </c>
      <c r="D2803" s="36"/>
      <c r="E2803" s="7" t="s">
        <v>40</v>
      </c>
      <c r="F2803" s="6"/>
    </row>
    <row r="2804" spans="1:6" ht="15.75" thickBot="1" x14ac:dyDescent="0.3">
      <c r="A2804" s="36"/>
      <c r="B2804" s="7" t="s">
        <v>36</v>
      </c>
      <c r="C2804" s="5">
        <f>IF(C2803="","",IF(AND(MONTH(C2803)&gt;=1,MONTH(C2803)&lt;=3),1,IF(AND(MONTH(C2803)&gt;=4,MONTH(C2803)&lt;=6),2,IF(AND(MONTH(C2803)&gt;=7,MONTH(C2803)&lt;=9),3,4))))</f>
        <v>2</v>
      </c>
      <c r="D2804" s="36"/>
      <c r="E2804" s="7" t="s">
        <v>41</v>
      </c>
      <c r="F2804" s="6"/>
    </row>
    <row r="2805" spans="1:6" ht="15.75" thickBot="1" x14ac:dyDescent="0.3">
      <c r="A2805" s="40"/>
      <c r="B2805" s="40"/>
      <c r="C2805" s="40"/>
      <c r="D2805" s="40"/>
      <c r="E2805" s="40"/>
      <c r="F2805" s="40"/>
    </row>
    <row r="2806" spans="1:6" ht="15.75" thickBot="1" x14ac:dyDescent="0.3">
      <c r="A2806" s="12" t="s">
        <v>42</v>
      </c>
      <c r="B2806" s="12" t="s">
        <v>43</v>
      </c>
      <c r="C2806" s="12" t="s">
        <v>44</v>
      </c>
      <c r="D2806" s="12" t="s">
        <v>45</v>
      </c>
      <c r="E2806" s="12" t="s">
        <v>46</v>
      </c>
      <c r="F2806" s="12" t="s">
        <v>47</v>
      </c>
    </row>
    <row r="2807" spans="1:6" x14ac:dyDescent="0.25">
      <c r="A2807" s="8">
        <v>14111704</v>
      </c>
      <c r="B2807" s="9" t="str">
        <f ca="1">IFERROR(INDEX(UNSPSCDes,MATCH(INDIRECT(ADDRESS(ROW(),COLUMN()-1,4)),UNSPSCCode,0)),"")</f>
        <v>Papel higiénico</v>
      </c>
      <c r="C2807" s="8" t="s">
        <v>55</v>
      </c>
      <c r="D2807" s="8">
        <v>600</v>
      </c>
      <c r="E2807" s="11">
        <v>875.99</v>
      </c>
      <c r="F2807" s="10">
        <f ca="1">INDIRECT(ADDRESS(ROW(),COLUMN()-2,4))*INDIRECT(ADDRESS(ROW(),COLUMN()-1,4))</f>
        <v>525594</v>
      </c>
    </row>
    <row r="2808" spans="1:6" x14ac:dyDescent="0.25">
      <c r="A2808" s="8">
        <v>14111703</v>
      </c>
      <c r="B2808" s="9" t="str">
        <f ca="1">IFERROR(INDEX(UNSPSCDes,MATCH(INDIRECT(ADDRESS(ROW(),COLUMN()-1,4)),UNSPSCCode,0)),"")</f>
        <v>Toallas de papel</v>
      </c>
      <c r="C2808" s="33" t="s">
        <v>55</v>
      </c>
      <c r="D2808" s="8">
        <v>200</v>
      </c>
      <c r="E2808" s="11">
        <v>894</v>
      </c>
      <c r="F2808" s="10">
        <f ca="1">INDIRECT(ADDRESS(ROW(),COLUMN()-2,4))*INDIRECT(ADDRESS(ROW(),COLUMN()-1,4))</f>
        <v>178800</v>
      </c>
    </row>
    <row r="2809" spans="1:6" x14ac:dyDescent="0.25">
      <c r="A2809" s="8">
        <v>14111705</v>
      </c>
      <c r="B2809" s="9" t="str">
        <f ca="1">IFERROR(INDEX(UNSPSCDes,MATCH(INDIRECT(ADDRESS(ROW(),COLUMN()-1,4)),UNSPSCCode,0)),"")</f>
        <v>Servilletas de papel</v>
      </c>
      <c r="C2809" s="8" t="s">
        <v>74</v>
      </c>
      <c r="D2809" s="8">
        <v>2000</v>
      </c>
      <c r="E2809" s="11">
        <v>138.01</v>
      </c>
      <c r="F2809" s="10">
        <f ca="1">INDIRECT(ADDRESS(ROW(),COLUMN()-2,4))*INDIRECT(ADDRESS(ROW(),COLUMN()-1,4))</f>
        <v>276020</v>
      </c>
    </row>
    <row r="2810" spans="1:6" x14ac:dyDescent="0.25">
      <c r="A2810" s="40"/>
      <c r="B2810" s="40"/>
      <c r="C2810" s="40"/>
      <c r="D2810" s="40"/>
      <c r="E2810" s="13" t="s">
        <v>87</v>
      </c>
      <c r="F2810" s="14">
        <f ca="1">SUM(Table383[MONTO TOTAL ESTIMADO])</f>
        <v>980414</v>
      </c>
    </row>
    <row r="2811" spans="1:6" ht="15.75" thickBot="1" x14ac:dyDescent="0.3">
      <c r="A2811" s="42"/>
      <c r="B2811" s="42"/>
      <c r="C2811" s="42"/>
      <c r="D2811" s="42"/>
      <c r="E2811" s="42"/>
      <c r="F2811" s="42"/>
    </row>
    <row r="2812" spans="1:6" ht="23.25" thickBot="1" x14ac:dyDescent="0.3">
      <c r="A2812" s="4" t="s">
        <v>19</v>
      </c>
      <c r="B2812" s="4" t="s">
        <v>20</v>
      </c>
      <c r="C2812" s="4" t="s">
        <v>21</v>
      </c>
      <c r="D2812" s="4" t="s">
        <v>22</v>
      </c>
      <c r="E2812" s="4" t="s">
        <v>23</v>
      </c>
      <c r="F2812" s="4" t="s">
        <v>24</v>
      </c>
    </row>
    <row r="2813" spans="1:6" ht="15.75" thickBot="1" x14ac:dyDescent="0.3">
      <c r="A2813" s="32" t="s">
        <v>325</v>
      </c>
      <c r="B2813" s="32" t="s">
        <v>326</v>
      </c>
      <c r="C2813" s="32" t="s">
        <v>27</v>
      </c>
      <c r="D2813" s="6" t="s">
        <v>28</v>
      </c>
      <c r="E2813" s="6" t="s">
        <v>262</v>
      </c>
      <c r="F2813" s="6"/>
    </row>
    <row r="2814" spans="1:6" ht="15.75" thickBot="1" x14ac:dyDescent="0.3">
      <c r="A2814" s="35" t="s">
        <v>31</v>
      </c>
      <c r="B2814" s="7" t="s">
        <v>32</v>
      </c>
      <c r="C2814" s="15">
        <v>45383</v>
      </c>
      <c r="D2814" s="35" t="s">
        <v>33</v>
      </c>
      <c r="E2814" s="7" t="s">
        <v>34</v>
      </c>
      <c r="F2814" s="6"/>
    </row>
    <row r="2815" spans="1:6" ht="15.75" thickBot="1" x14ac:dyDescent="0.3">
      <c r="A2815" s="36"/>
      <c r="B2815" s="7" t="s">
        <v>36</v>
      </c>
      <c r="C2815" s="5">
        <f>IF(C2814="","",IF(AND(MONTH(C2814)&gt;=1,MONTH(C2814)&lt;=3),1,IF(AND(MONTH(C2814)&gt;=4,MONTH(C2814)&lt;=6),2,IF(AND(MONTH(C2814)&gt;=7,MONTH(C2814)&lt;=9),3,4))))</f>
        <v>2</v>
      </c>
      <c r="D2815" s="36"/>
      <c r="E2815" s="7" t="s">
        <v>37</v>
      </c>
      <c r="F2815" s="6"/>
    </row>
    <row r="2816" spans="1:6" ht="15.75" thickBot="1" x14ac:dyDescent="0.3">
      <c r="A2816" s="36"/>
      <c r="B2816" s="7" t="s">
        <v>39</v>
      </c>
      <c r="C2816" s="15">
        <v>45473</v>
      </c>
      <c r="D2816" s="36"/>
      <c r="E2816" s="7" t="s">
        <v>40</v>
      </c>
      <c r="F2816" s="6"/>
    </row>
    <row r="2817" spans="1:6" ht="15.75" thickBot="1" x14ac:dyDescent="0.3">
      <c r="A2817" s="36"/>
      <c r="B2817" s="7" t="s">
        <v>36</v>
      </c>
      <c r="C2817" s="5">
        <f>IF(C2816="","",IF(AND(MONTH(C2816)&gt;=1,MONTH(C2816)&lt;=3),1,IF(AND(MONTH(C2816)&gt;=4,MONTH(C2816)&lt;=6),2,IF(AND(MONTH(C2816)&gt;=7,MONTH(C2816)&lt;=9),3,4))))</f>
        <v>2</v>
      </c>
      <c r="D2817" s="36"/>
      <c r="E2817" s="7" t="s">
        <v>41</v>
      </c>
      <c r="F2817" s="6"/>
    </row>
    <row r="2818" spans="1:6" ht="15.75" thickBot="1" x14ac:dyDescent="0.3">
      <c r="A2818" s="40"/>
      <c r="B2818" s="40"/>
      <c r="C2818" s="40"/>
      <c r="D2818" s="40"/>
      <c r="E2818" s="40"/>
      <c r="F2818" s="40"/>
    </row>
    <row r="2819" spans="1:6" ht="15.75" thickBot="1" x14ac:dyDescent="0.3">
      <c r="A2819" s="12" t="s">
        <v>42</v>
      </c>
      <c r="B2819" s="12" t="s">
        <v>43</v>
      </c>
      <c r="C2819" s="12" t="s">
        <v>44</v>
      </c>
      <c r="D2819" s="12" t="s">
        <v>45</v>
      </c>
      <c r="E2819" s="12" t="s">
        <v>46</v>
      </c>
      <c r="F2819" s="12" t="s">
        <v>47</v>
      </c>
    </row>
    <row r="2820" spans="1:6" x14ac:dyDescent="0.25">
      <c r="A2820" s="8">
        <v>47131803</v>
      </c>
      <c r="B2820" s="9" t="str">
        <f t="shared" ref="B2820:B2841" ca="1" si="9">IFERROR(INDEX(UNSPSCDes,MATCH(INDIRECT(ADDRESS(ROW(),COLUMN()-1,4)),UNSPSCCode,0)),"")</f>
        <v>Desinfectantes para uso doméstico</v>
      </c>
      <c r="C2820" s="8" t="s">
        <v>92</v>
      </c>
      <c r="D2820" s="8">
        <v>600</v>
      </c>
      <c r="E2820" s="11">
        <v>383.5</v>
      </c>
      <c r="F2820" s="10">
        <f t="shared" ref="F2820:F2841" ca="1" si="10">INDIRECT(ADDRESS(ROW(),COLUMN()-2,4))*INDIRECT(ADDRESS(ROW(),COLUMN()-1,4))</f>
        <v>230100</v>
      </c>
    </row>
    <row r="2821" spans="1:6" x14ac:dyDescent="0.25">
      <c r="A2821" s="8">
        <v>47131807</v>
      </c>
      <c r="B2821" s="9" t="str">
        <f t="shared" ca="1" si="9"/>
        <v>Blanqueadores</v>
      </c>
      <c r="C2821" s="33" t="s">
        <v>92</v>
      </c>
      <c r="D2821" s="8">
        <v>600</v>
      </c>
      <c r="E2821" s="11">
        <v>76.7</v>
      </c>
      <c r="F2821" s="10">
        <f t="shared" ca="1" si="10"/>
        <v>46020</v>
      </c>
    </row>
    <row r="2822" spans="1:6" x14ac:dyDescent="0.25">
      <c r="A2822" s="8">
        <v>47131803</v>
      </c>
      <c r="B2822" s="9" t="str">
        <f t="shared" ca="1" si="9"/>
        <v>Desinfectantes para uso doméstico</v>
      </c>
      <c r="C2822" s="33" t="s">
        <v>92</v>
      </c>
      <c r="D2822" s="8">
        <v>600</v>
      </c>
      <c r="E2822" s="11">
        <v>129.80000000000001</v>
      </c>
      <c r="F2822" s="10">
        <f t="shared" ca="1" si="10"/>
        <v>77880</v>
      </c>
    </row>
    <row r="2823" spans="1:6" x14ac:dyDescent="0.25">
      <c r="A2823" s="8">
        <v>47131803</v>
      </c>
      <c r="B2823" s="9" t="str">
        <f t="shared" ca="1" si="9"/>
        <v>Desinfectantes para uso doméstico</v>
      </c>
      <c r="C2823" s="33" t="s">
        <v>92</v>
      </c>
      <c r="D2823" s="8">
        <v>600</v>
      </c>
      <c r="E2823" s="11">
        <v>159.30000000000001</v>
      </c>
      <c r="F2823" s="10">
        <f t="shared" ca="1" si="10"/>
        <v>95580</v>
      </c>
    </row>
    <row r="2824" spans="1:6" x14ac:dyDescent="0.25">
      <c r="A2824" s="8">
        <v>47121702</v>
      </c>
      <c r="B2824" s="9" t="str">
        <f t="shared" ca="1" si="9"/>
        <v>Contenedores de desperdicios o revestimientos rígidos</v>
      </c>
      <c r="C2824" s="8" t="s">
        <v>55</v>
      </c>
      <c r="D2824" s="8">
        <v>200</v>
      </c>
      <c r="E2824" s="11">
        <v>767</v>
      </c>
      <c r="F2824" s="10">
        <f t="shared" ca="1" si="10"/>
        <v>153400</v>
      </c>
    </row>
    <row r="2825" spans="1:6" x14ac:dyDescent="0.25">
      <c r="A2825" s="8">
        <v>24111503</v>
      </c>
      <c r="B2825" s="9" t="str">
        <f t="shared" ca="1" si="9"/>
        <v>Bolsas plásticas</v>
      </c>
      <c r="C2825" s="8" t="s">
        <v>74</v>
      </c>
      <c r="D2825" s="8">
        <v>700</v>
      </c>
      <c r="E2825" s="11">
        <v>47.2</v>
      </c>
      <c r="F2825" s="10">
        <f t="shared" ca="1" si="10"/>
        <v>33040</v>
      </c>
    </row>
    <row r="2826" spans="1:6" x14ac:dyDescent="0.25">
      <c r="A2826" s="8">
        <v>24111503</v>
      </c>
      <c r="B2826" s="9" t="str">
        <f t="shared" ca="1" si="9"/>
        <v>Bolsas plásticas</v>
      </c>
      <c r="C2826" s="33" t="s">
        <v>74</v>
      </c>
      <c r="D2826" s="8">
        <v>700</v>
      </c>
      <c r="E2826" s="11">
        <v>47.2</v>
      </c>
      <c r="F2826" s="10">
        <f t="shared" ca="1" si="10"/>
        <v>33040</v>
      </c>
    </row>
    <row r="2827" spans="1:6" x14ac:dyDescent="0.25">
      <c r="A2827" s="8">
        <v>24111503</v>
      </c>
      <c r="B2827" s="9" t="str">
        <f t="shared" ca="1" si="9"/>
        <v>Bolsas plásticas</v>
      </c>
      <c r="C2827" s="33" t="s">
        <v>74</v>
      </c>
      <c r="D2827" s="8">
        <v>500</v>
      </c>
      <c r="E2827" s="11">
        <v>47.2</v>
      </c>
      <c r="F2827" s="10">
        <f t="shared" ca="1" si="10"/>
        <v>23600</v>
      </c>
    </row>
    <row r="2828" spans="1:6" x14ac:dyDescent="0.25">
      <c r="A2828" s="8">
        <v>47131604</v>
      </c>
      <c r="B2828" s="9" t="str">
        <f t="shared" ca="1" si="9"/>
        <v>Escobas</v>
      </c>
      <c r="C2828" s="33" t="s">
        <v>55</v>
      </c>
      <c r="D2828" s="8">
        <v>600</v>
      </c>
      <c r="E2828" s="11">
        <v>165.2</v>
      </c>
      <c r="F2828" s="10">
        <f t="shared" ca="1" si="10"/>
        <v>99120</v>
      </c>
    </row>
    <row r="2829" spans="1:6" x14ac:dyDescent="0.25">
      <c r="A2829" s="8">
        <v>47131618</v>
      </c>
      <c r="B2829" s="9" t="str">
        <f t="shared" ca="1" si="9"/>
        <v>Traperos húmedos</v>
      </c>
      <c r="C2829" s="33" t="s">
        <v>55</v>
      </c>
      <c r="D2829" s="8">
        <v>600</v>
      </c>
      <c r="E2829" s="11">
        <v>206.5</v>
      </c>
      <c r="F2829" s="10">
        <f t="shared" ca="1" si="10"/>
        <v>123900</v>
      </c>
    </row>
    <row r="2830" spans="1:6" x14ac:dyDescent="0.25">
      <c r="A2830" s="8">
        <v>47131611</v>
      </c>
      <c r="B2830" s="9" t="str">
        <f t="shared" ca="1" si="9"/>
        <v>Recogedor de basura</v>
      </c>
      <c r="C2830" s="33" t="s">
        <v>55</v>
      </c>
      <c r="D2830" s="8">
        <v>150</v>
      </c>
      <c r="E2830" s="11">
        <v>106.2</v>
      </c>
      <c r="F2830" s="10">
        <f t="shared" ca="1" si="10"/>
        <v>15930</v>
      </c>
    </row>
    <row r="2831" spans="1:6" x14ac:dyDescent="0.25">
      <c r="A2831" s="8">
        <v>47131604</v>
      </c>
      <c r="B2831" s="9" t="str">
        <f t="shared" ca="1" si="9"/>
        <v>Escobas</v>
      </c>
      <c r="C2831" s="33" t="s">
        <v>55</v>
      </c>
      <c r="D2831" s="8">
        <v>200</v>
      </c>
      <c r="E2831" s="11">
        <v>177</v>
      </c>
      <c r="F2831" s="10">
        <f t="shared" ca="1" si="10"/>
        <v>35400</v>
      </c>
    </row>
    <row r="2832" spans="1:6" x14ac:dyDescent="0.25">
      <c r="A2832" s="8">
        <v>47131824</v>
      </c>
      <c r="B2832" s="9" t="str">
        <f t="shared" ca="1" si="9"/>
        <v>Limpiadores de vidrio o ventanas</v>
      </c>
      <c r="C2832" s="33" t="s">
        <v>55</v>
      </c>
      <c r="D2832" s="8">
        <v>150</v>
      </c>
      <c r="E2832" s="11">
        <v>147.5</v>
      </c>
      <c r="F2832" s="10">
        <f t="shared" ca="1" si="10"/>
        <v>22125</v>
      </c>
    </row>
    <row r="2833" spans="1:6" x14ac:dyDescent="0.25">
      <c r="A2833" s="8">
        <v>47131502</v>
      </c>
      <c r="B2833" s="9" t="str">
        <f t="shared" ca="1" si="9"/>
        <v>Pañitos o toallas para limpiar</v>
      </c>
      <c r="C2833" s="33" t="s">
        <v>55</v>
      </c>
      <c r="D2833" s="8">
        <v>600</v>
      </c>
      <c r="E2833" s="11">
        <v>57.82</v>
      </c>
      <c r="F2833" s="10">
        <f t="shared" ca="1" si="10"/>
        <v>34692</v>
      </c>
    </row>
    <row r="2834" spans="1:6" x14ac:dyDescent="0.25">
      <c r="A2834" s="8">
        <v>47131604</v>
      </c>
      <c r="B2834" s="9" t="str">
        <f t="shared" ca="1" si="9"/>
        <v>Escobas</v>
      </c>
      <c r="C2834" s="33" t="s">
        <v>55</v>
      </c>
      <c r="D2834" s="8">
        <v>25</v>
      </c>
      <c r="E2834" s="11">
        <v>1121</v>
      </c>
      <c r="F2834" s="10">
        <f t="shared" ca="1" si="10"/>
        <v>28025</v>
      </c>
    </row>
    <row r="2835" spans="1:6" x14ac:dyDescent="0.25">
      <c r="A2835" s="8">
        <v>46181504</v>
      </c>
      <c r="B2835" s="9" t="str">
        <f t="shared" ca="1" si="9"/>
        <v>Guantes de protección</v>
      </c>
      <c r="C2835" s="33" t="s">
        <v>55</v>
      </c>
      <c r="D2835" s="8">
        <v>600</v>
      </c>
      <c r="E2835" s="11">
        <v>82.6</v>
      </c>
      <c r="F2835" s="10">
        <f t="shared" ca="1" si="10"/>
        <v>49560</v>
      </c>
    </row>
    <row r="2836" spans="1:6" x14ac:dyDescent="0.25">
      <c r="A2836" s="8">
        <v>47131803</v>
      </c>
      <c r="B2836" s="9" t="str">
        <f t="shared" ca="1" si="9"/>
        <v>Desinfectantes para uso doméstico</v>
      </c>
      <c r="C2836" s="33" t="s">
        <v>55</v>
      </c>
      <c r="D2836" s="8">
        <v>500</v>
      </c>
      <c r="E2836" s="11">
        <v>525</v>
      </c>
      <c r="F2836" s="10">
        <f t="shared" ca="1" si="10"/>
        <v>262500</v>
      </c>
    </row>
    <row r="2837" spans="1:6" x14ac:dyDescent="0.25">
      <c r="A2837" s="8">
        <v>47131502</v>
      </c>
      <c r="B2837" s="9" t="str">
        <f t="shared" ca="1" si="9"/>
        <v>Pañitos o toallas para limpiar</v>
      </c>
      <c r="C2837" s="33" t="s">
        <v>55</v>
      </c>
      <c r="D2837" s="8">
        <v>300</v>
      </c>
      <c r="E2837" s="11">
        <v>106.2</v>
      </c>
      <c r="F2837" s="10">
        <f t="shared" ca="1" si="10"/>
        <v>31860</v>
      </c>
    </row>
    <row r="2838" spans="1:6" x14ac:dyDescent="0.25">
      <c r="A2838" s="8">
        <v>47131812</v>
      </c>
      <c r="B2838" s="9" t="str">
        <f t="shared" ca="1" si="9"/>
        <v>Refrescador de aire</v>
      </c>
      <c r="C2838" s="33" t="s">
        <v>55</v>
      </c>
      <c r="D2838" s="8">
        <v>1200</v>
      </c>
      <c r="E2838" s="11">
        <v>135.69999999999999</v>
      </c>
      <c r="F2838" s="10">
        <f t="shared" ca="1" si="10"/>
        <v>162840</v>
      </c>
    </row>
    <row r="2839" spans="1:6" x14ac:dyDescent="0.25">
      <c r="A2839" s="8">
        <v>47131816</v>
      </c>
      <c r="B2839" s="9" t="str">
        <f t="shared" ca="1" si="9"/>
        <v>Desodorantes</v>
      </c>
      <c r="C2839" s="33" t="s">
        <v>55</v>
      </c>
      <c r="D2839" s="8">
        <v>300</v>
      </c>
      <c r="E2839" s="11">
        <v>59</v>
      </c>
      <c r="F2839" s="10">
        <f t="shared" ca="1" si="10"/>
        <v>17700</v>
      </c>
    </row>
    <row r="2840" spans="1:6" x14ac:dyDescent="0.25">
      <c r="A2840" s="8">
        <v>47121804</v>
      </c>
      <c r="B2840" s="9" t="str">
        <f t="shared" ca="1" si="9"/>
        <v>Baldes para limpieza</v>
      </c>
      <c r="C2840" s="33" t="s">
        <v>55</v>
      </c>
      <c r="D2840" s="8">
        <v>100</v>
      </c>
      <c r="E2840" s="11">
        <v>265.5</v>
      </c>
      <c r="F2840" s="10">
        <f t="shared" ca="1" si="10"/>
        <v>26550</v>
      </c>
    </row>
    <row r="2841" spans="1:6" x14ac:dyDescent="0.25">
      <c r="A2841" s="8">
        <v>47121806</v>
      </c>
      <c r="B2841" s="9" t="str">
        <f t="shared" ca="1" si="9"/>
        <v>Escurridor de trapero</v>
      </c>
      <c r="C2841" s="33" t="s">
        <v>55</v>
      </c>
      <c r="D2841" s="8">
        <v>12</v>
      </c>
      <c r="E2841" s="11">
        <v>5841</v>
      </c>
      <c r="F2841" s="10">
        <f t="shared" ca="1" si="10"/>
        <v>70092</v>
      </c>
    </row>
    <row r="2842" spans="1:6" x14ac:dyDescent="0.25">
      <c r="A2842" s="40"/>
      <c r="B2842" s="40"/>
      <c r="C2842" s="40"/>
      <c r="D2842" s="40"/>
      <c r="E2842" s="13" t="s">
        <v>87</v>
      </c>
      <c r="F2842" s="14">
        <f ca="1">SUM(Table384[MONTO TOTAL ESTIMADO])</f>
        <v>1672954</v>
      </c>
    </row>
    <row r="2843" spans="1:6" ht="15.75" thickBot="1" x14ac:dyDescent="0.3">
      <c r="A2843" s="42"/>
      <c r="B2843" s="42"/>
      <c r="C2843" s="42"/>
      <c r="D2843" s="42"/>
      <c r="E2843" s="42"/>
      <c r="F2843" s="42"/>
    </row>
    <row r="2844" spans="1:6" ht="23.25" thickBot="1" x14ac:dyDescent="0.3">
      <c r="A2844" s="4" t="s">
        <v>19</v>
      </c>
      <c r="B2844" s="4" t="s">
        <v>20</v>
      </c>
      <c r="C2844" s="4" t="s">
        <v>21</v>
      </c>
      <c r="D2844" s="4" t="s">
        <v>22</v>
      </c>
      <c r="E2844" s="4" t="s">
        <v>23</v>
      </c>
      <c r="F2844" s="4" t="s">
        <v>24</v>
      </c>
    </row>
    <row r="2845" spans="1:6" ht="15.75" thickBot="1" x14ac:dyDescent="0.3">
      <c r="A2845" s="32" t="s">
        <v>335</v>
      </c>
      <c r="B2845" s="32" t="s">
        <v>336</v>
      </c>
      <c r="C2845" s="32" t="s">
        <v>27</v>
      </c>
      <c r="D2845" s="6" t="s">
        <v>28</v>
      </c>
      <c r="E2845" s="6" t="s">
        <v>262</v>
      </c>
      <c r="F2845" s="6"/>
    </row>
    <row r="2846" spans="1:6" ht="15.75" thickBot="1" x14ac:dyDescent="0.3">
      <c r="A2846" s="35" t="s">
        <v>31</v>
      </c>
      <c r="B2846" s="7" t="s">
        <v>32</v>
      </c>
      <c r="C2846" s="15">
        <v>45383</v>
      </c>
      <c r="D2846" s="35" t="s">
        <v>33</v>
      </c>
      <c r="E2846" s="7" t="s">
        <v>34</v>
      </c>
      <c r="F2846" s="6"/>
    </row>
    <row r="2847" spans="1:6" ht="15.75" thickBot="1" x14ac:dyDescent="0.3">
      <c r="A2847" s="36"/>
      <c r="B2847" s="7" t="s">
        <v>36</v>
      </c>
      <c r="C2847" s="5">
        <f>IF(C2846="","",IF(AND(MONTH(C2846)&gt;=1,MONTH(C2846)&lt;=3),1,IF(AND(MONTH(C2846)&gt;=4,MONTH(C2846)&lt;=6),2,IF(AND(MONTH(C2846)&gt;=7,MONTH(C2846)&lt;=9),3,4))))</f>
        <v>2</v>
      </c>
      <c r="D2847" s="36"/>
      <c r="E2847" s="7" t="s">
        <v>37</v>
      </c>
      <c r="F2847" s="6"/>
    </row>
    <row r="2848" spans="1:6" ht="15.75" thickBot="1" x14ac:dyDescent="0.3">
      <c r="A2848" s="36"/>
      <c r="B2848" s="7" t="s">
        <v>39</v>
      </c>
      <c r="C2848" s="15">
        <v>45473</v>
      </c>
      <c r="D2848" s="36"/>
      <c r="E2848" s="7" t="s">
        <v>40</v>
      </c>
      <c r="F2848" s="6"/>
    </row>
    <row r="2849" spans="1:6" ht="15.75" thickBot="1" x14ac:dyDescent="0.3">
      <c r="A2849" s="36"/>
      <c r="B2849" s="7" t="s">
        <v>36</v>
      </c>
      <c r="C2849" s="5">
        <f>IF(C2848="","",IF(AND(MONTH(C2848)&gt;=1,MONTH(C2848)&lt;=3),1,IF(AND(MONTH(C2848)&gt;=4,MONTH(C2848)&lt;=6),2,IF(AND(MONTH(C2848)&gt;=7,MONTH(C2848)&lt;=9),3,4))))</f>
        <v>2</v>
      </c>
      <c r="D2849" s="36"/>
      <c r="E2849" s="7" t="s">
        <v>41</v>
      </c>
      <c r="F2849" s="6"/>
    </row>
    <row r="2850" spans="1:6" ht="15.75" thickBot="1" x14ac:dyDescent="0.3">
      <c r="A2850" s="40"/>
      <c r="B2850" s="40"/>
      <c r="C2850" s="40"/>
      <c r="D2850" s="40"/>
      <c r="E2850" s="40"/>
      <c r="F2850" s="40"/>
    </row>
    <row r="2851" spans="1:6" ht="15.75" thickBot="1" x14ac:dyDescent="0.3">
      <c r="A2851" s="12" t="s">
        <v>42</v>
      </c>
      <c r="B2851" s="12" t="s">
        <v>43</v>
      </c>
      <c r="C2851" s="12" t="s">
        <v>44</v>
      </c>
      <c r="D2851" s="12" t="s">
        <v>45</v>
      </c>
      <c r="E2851" s="12" t="s">
        <v>46</v>
      </c>
      <c r="F2851" s="12" t="s">
        <v>47</v>
      </c>
    </row>
    <row r="2852" spans="1:6" x14ac:dyDescent="0.25">
      <c r="A2852" s="8">
        <v>55121727</v>
      </c>
      <c r="B2852" s="9" t="str">
        <f ca="1">IFERROR(INDEX(UNSPSCDes,MATCH(INDIRECT(ADDRESS(ROW(),COLUMN()-1,4)),UNSPSCCode,0)),"")</f>
        <v>Letreros</v>
      </c>
      <c r="C2852" s="8" t="s">
        <v>55</v>
      </c>
      <c r="D2852" s="8">
        <v>10</v>
      </c>
      <c r="E2852" s="11">
        <v>31364.400000000001</v>
      </c>
      <c r="F2852" s="10">
        <f ca="1">INDIRECT(ADDRESS(ROW(),COLUMN()-2,4))*INDIRECT(ADDRESS(ROW(),COLUMN()-1,4))</f>
        <v>313644</v>
      </c>
    </row>
    <row r="2853" spans="1:6" x14ac:dyDescent="0.25">
      <c r="A2853" s="40"/>
      <c r="B2853" s="40"/>
      <c r="C2853" s="40"/>
      <c r="D2853" s="40"/>
      <c r="E2853" s="13" t="s">
        <v>87</v>
      </c>
      <c r="F2853" s="14">
        <f ca="1">SUM(Table385[MONTO TOTAL ESTIMADO])</f>
        <v>313644</v>
      </c>
    </row>
    <row r="2854" spans="1:6" ht="15.75" thickBot="1" x14ac:dyDescent="0.3">
      <c r="A2854" s="42"/>
      <c r="B2854" s="42"/>
      <c r="C2854" s="42"/>
      <c r="D2854" s="42"/>
      <c r="E2854" s="42"/>
      <c r="F2854" s="42"/>
    </row>
    <row r="2855" spans="1:6" ht="23.25" thickBot="1" x14ac:dyDescent="0.3">
      <c r="A2855" s="4" t="s">
        <v>19</v>
      </c>
      <c r="B2855" s="4" t="s">
        <v>20</v>
      </c>
      <c r="C2855" s="4" t="s">
        <v>21</v>
      </c>
      <c r="D2855" s="4" t="s">
        <v>22</v>
      </c>
      <c r="E2855" s="4" t="s">
        <v>23</v>
      </c>
      <c r="F2855" s="4" t="s">
        <v>24</v>
      </c>
    </row>
    <row r="2856" spans="1:6" ht="15.75" thickBot="1" x14ac:dyDescent="0.3">
      <c r="A2856" s="32" t="s">
        <v>338</v>
      </c>
      <c r="B2856" s="32" t="s">
        <v>339</v>
      </c>
      <c r="C2856" s="32" t="s">
        <v>27</v>
      </c>
      <c r="D2856" s="6" t="s">
        <v>188</v>
      </c>
      <c r="E2856" s="6" t="s">
        <v>262</v>
      </c>
      <c r="F2856" s="6"/>
    </row>
    <row r="2857" spans="1:6" ht="15.75" thickBot="1" x14ac:dyDescent="0.3">
      <c r="A2857" s="35" t="s">
        <v>31</v>
      </c>
      <c r="B2857" s="7" t="s">
        <v>32</v>
      </c>
      <c r="C2857" s="15">
        <v>45383</v>
      </c>
      <c r="D2857" s="35" t="s">
        <v>33</v>
      </c>
      <c r="E2857" s="7" t="s">
        <v>34</v>
      </c>
      <c r="F2857" s="6"/>
    </row>
    <row r="2858" spans="1:6" ht="15.75" thickBot="1" x14ac:dyDescent="0.3">
      <c r="A2858" s="36"/>
      <c r="B2858" s="7" t="s">
        <v>36</v>
      </c>
      <c r="C2858" s="5">
        <f>IF(C2857="","",IF(AND(MONTH(C2857)&gt;=1,MONTH(C2857)&lt;=3),1,IF(AND(MONTH(C2857)&gt;=4,MONTH(C2857)&lt;=6),2,IF(AND(MONTH(C2857)&gt;=7,MONTH(C2857)&lt;=9),3,4))))</f>
        <v>2</v>
      </c>
      <c r="D2858" s="36"/>
      <c r="E2858" s="7" t="s">
        <v>37</v>
      </c>
      <c r="F2858" s="6"/>
    </row>
    <row r="2859" spans="1:6" ht="15.75" thickBot="1" x14ac:dyDescent="0.3">
      <c r="A2859" s="36"/>
      <c r="B2859" s="7" t="s">
        <v>39</v>
      </c>
      <c r="C2859" s="15">
        <v>45473</v>
      </c>
      <c r="D2859" s="36"/>
      <c r="E2859" s="7" t="s">
        <v>40</v>
      </c>
      <c r="F2859" s="6"/>
    </row>
    <row r="2860" spans="1:6" ht="15.75" thickBot="1" x14ac:dyDescent="0.3">
      <c r="A2860" s="36"/>
      <c r="B2860" s="7" t="s">
        <v>36</v>
      </c>
      <c r="C2860" s="5">
        <f>IF(C2859="","",IF(AND(MONTH(C2859)&gt;=1,MONTH(C2859)&lt;=3),1,IF(AND(MONTH(C2859)&gt;=4,MONTH(C2859)&lt;=6),2,IF(AND(MONTH(C2859)&gt;=7,MONTH(C2859)&lt;=9),3,4))))</f>
        <v>2</v>
      </c>
      <c r="D2860" s="36"/>
      <c r="E2860" s="7" t="s">
        <v>41</v>
      </c>
      <c r="F2860" s="6"/>
    </row>
    <row r="2861" spans="1:6" ht="15.75" thickBot="1" x14ac:dyDescent="0.3">
      <c r="A2861" s="40"/>
      <c r="B2861" s="40"/>
      <c r="C2861" s="40"/>
      <c r="D2861" s="40"/>
      <c r="E2861" s="40"/>
      <c r="F2861" s="40"/>
    </row>
    <row r="2862" spans="1:6" ht="15.75" thickBot="1" x14ac:dyDescent="0.3">
      <c r="A2862" s="12" t="s">
        <v>42</v>
      </c>
      <c r="B2862" s="12" t="s">
        <v>43</v>
      </c>
      <c r="C2862" s="12" t="s">
        <v>44</v>
      </c>
      <c r="D2862" s="12" t="s">
        <v>45</v>
      </c>
      <c r="E2862" s="12" t="s">
        <v>46</v>
      </c>
      <c r="F2862" s="12" t="s">
        <v>47</v>
      </c>
    </row>
    <row r="2863" spans="1:6" x14ac:dyDescent="0.25">
      <c r="A2863" s="8">
        <v>82121505</v>
      </c>
      <c r="B2863" s="9" t="str">
        <f ca="1">IFERROR(INDEX(UNSPSCDes,MATCH(INDIRECT(ADDRESS(ROW(),COLUMN()-1,4)),UNSPSCCode,0)),"")</f>
        <v>Impresión promocional o publicitaria</v>
      </c>
      <c r="C2863" s="33" t="s">
        <v>55</v>
      </c>
      <c r="D2863" s="8">
        <v>6</v>
      </c>
      <c r="E2863" s="11">
        <v>20060</v>
      </c>
      <c r="F2863" s="10">
        <f ca="1">INDIRECT(ADDRESS(ROW(),COLUMN()-2,4))*INDIRECT(ADDRESS(ROW(),COLUMN()-1,4))</f>
        <v>120360</v>
      </c>
    </row>
    <row r="2864" spans="1:6" x14ac:dyDescent="0.25">
      <c r="A2864" s="40"/>
      <c r="B2864" s="40"/>
      <c r="C2864" s="40"/>
      <c r="D2864" s="40"/>
      <c r="E2864" s="13" t="s">
        <v>87</v>
      </c>
      <c r="F2864" s="14">
        <f ca="1">SUM(Table386[MONTO TOTAL ESTIMADO])</f>
        <v>120360</v>
      </c>
    </row>
    <row r="2865" spans="1:6" ht="15.75" thickBot="1" x14ac:dyDescent="0.3">
      <c r="A2865" s="42"/>
      <c r="B2865" s="42"/>
      <c r="C2865" s="42"/>
      <c r="D2865" s="42"/>
      <c r="E2865" s="42"/>
      <c r="F2865" s="42"/>
    </row>
    <row r="2866" spans="1:6" ht="23.25" thickBot="1" x14ac:dyDescent="0.3">
      <c r="A2866" s="4" t="s">
        <v>19</v>
      </c>
      <c r="B2866" s="4" t="s">
        <v>20</v>
      </c>
      <c r="C2866" s="4" t="s">
        <v>21</v>
      </c>
      <c r="D2866" s="4" t="s">
        <v>22</v>
      </c>
      <c r="E2866" s="4" t="s">
        <v>23</v>
      </c>
      <c r="F2866" s="4" t="s">
        <v>24</v>
      </c>
    </row>
    <row r="2867" spans="1:6" ht="15.75" thickBot="1" x14ac:dyDescent="0.3">
      <c r="A2867" s="32" t="s">
        <v>341</v>
      </c>
      <c r="B2867" s="32" t="s">
        <v>342</v>
      </c>
      <c r="C2867" s="32" t="s">
        <v>27</v>
      </c>
      <c r="D2867" s="6" t="s">
        <v>28</v>
      </c>
      <c r="E2867" s="6" t="s">
        <v>262</v>
      </c>
      <c r="F2867" s="6"/>
    </row>
    <row r="2868" spans="1:6" ht="15.75" thickBot="1" x14ac:dyDescent="0.3">
      <c r="A2868" s="35" t="s">
        <v>31</v>
      </c>
      <c r="B2868" s="7" t="s">
        <v>32</v>
      </c>
      <c r="C2868" s="15">
        <v>45383</v>
      </c>
      <c r="D2868" s="35" t="s">
        <v>33</v>
      </c>
      <c r="E2868" s="7" t="s">
        <v>34</v>
      </c>
      <c r="F2868" s="6"/>
    </row>
    <row r="2869" spans="1:6" ht="15.75" thickBot="1" x14ac:dyDescent="0.3">
      <c r="A2869" s="36"/>
      <c r="B2869" s="7" t="s">
        <v>36</v>
      </c>
      <c r="C2869" s="5">
        <f>IF(C2868="","",IF(AND(MONTH(C2868)&gt;=1,MONTH(C2868)&lt;=3),1,IF(AND(MONTH(C2868)&gt;=4,MONTH(C2868)&lt;=6),2,IF(AND(MONTH(C2868)&gt;=7,MONTH(C2868)&lt;=9),3,4))))</f>
        <v>2</v>
      </c>
      <c r="D2869" s="36"/>
      <c r="E2869" s="7" t="s">
        <v>37</v>
      </c>
      <c r="F2869" s="6"/>
    </row>
    <row r="2870" spans="1:6" ht="15.75" thickBot="1" x14ac:dyDescent="0.3">
      <c r="A2870" s="36"/>
      <c r="B2870" s="7" t="s">
        <v>39</v>
      </c>
      <c r="C2870" s="15">
        <v>45473</v>
      </c>
      <c r="D2870" s="36"/>
      <c r="E2870" s="7" t="s">
        <v>40</v>
      </c>
      <c r="F2870" s="6"/>
    </row>
    <row r="2871" spans="1:6" ht="15.75" thickBot="1" x14ac:dyDescent="0.3">
      <c r="A2871" s="36"/>
      <c r="B2871" s="7" t="s">
        <v>36</v>
      </c>
      <c r="C2871" s="5">
        <f>IF(C2870="","",IF(AND(MONTH(C2870)&gt;=1,MONTH(C2870)&lt;=3),1,IF(AND(MONTH(C2870)&gt;=4,MONTH(C2870)&lt;=6),2,IF(AND(MONTH(C2870)&gt;=7,MONTH(C2870)&lt;=9),3,4))))</f>
        <v>2</v>
      </c>
      <c r="D2871" s="36"/>
      <c r="E2871" s="7" t="s">
        <v>41</v>
      </c>
      <c r="F2871" s="6"/>
    </row>
    <row r="2872" spans="1:6" ht="15.75" thickBot="1" x14ac:dyDescent="0.3">
      <c r="A2872" s="40"/>
      <c r="B2872" s="40"/>
      <c r="C2872" s="40"/>
      <c r="D2872" s="40"/>
      <c r="E2872" s="40"/>
      <c r="F2872" s="40"/>
    </row>
    <row r="2873" spans="1:6" ht="15.75" thickBot="1" x14ac:dyDescent="0.3">
      <c r="A2873" s="12" t="s">
        <v>42</v>
      </c>
      <c r="B2873" s="12" t="s">
        <v>43</v>
      </c>
      <c r="C2873" s="12" t="s">
        <v>44</v>
      </c>
      <c r="D2873" s="12" t="s">
        <v>45</v>
      </c>
      <c r="E2873" s="12" t="s">
        <v>46</v>
      </c>
      <c r="F2873" s="12" t="s">
        <v>47</v>
      </c>
    </row>
    <row r="2874" spans="1:6" x14ac:dyDescent="0.25">
      <c r="A2874" s="8">
        <v>50181905</v>
      </c>
      <c r="B2874" s="9" t="str">
        <f ca="1">IFERROR(INDEX(UNSPSCDes,MATCH(INDIRECT(ADDRESS(ROW(),COLUMN()-1,4)),UNSPSCCode,0)),"")</f>
        <v>Galletas de dulce</v>
      </c>
      <c r="C2874" s="33" t="s">
        <v>55</v>
      </c>
      <c r="D2874" s="8">
        <v>5000</v>
      </c>
      <c r="E2874" s="11">
        <v>183.96</v>
      </c>
      <c r="F2874" s="10">
        <f ca="1">INDIRECT(ADDRESS(ROW(),COLUMN()-2,4))*INDIRECT(ADDRESS(ROW(),COLUMN()-1,4))</f>
        <v>919800</v>
      </c>
    </row>
    <row r="2875" spans="1:6" x14ac:dyDescent="0.25">
      <c r="A2875" s="40"/>
      <c r="B2875" s="40"/>
      <c r="C2875" s="40"/>
      <c r="D2875" s="40"/>
      <c r="E2875" s="13" t="s">
        <v>87</v>
      </c>
      <c r="F2875" s="14">
        <f ca="1">SUM(Table387[MONTO TOTAL ESTIMADO])</f>
        <v>919800</v>
      </c>
    </row>
    <row r="2876" spans="1:6" ht="15.75" thickBot="1" x14ac:dyDescent="0.3">
      <c r="A2876" s="42"/>
      <c r="B2876" s="42"/>
      <c r="C2876" s="42"/>
      <c r="D2876" s="42"/>
      <c r="E2876" s="42"/>
      <c r="F2876" s="42"/>
    </row>
    <row r="2877" spans="1:6" ht="23.25" thickBot="1" x14ac:dyDescent="0.3">
      <c r="A2877" s="4" t="s">
        <v>19</v>
      </c>
      <c r="B2877" s="4" t="s">
        <v>20</v>
      </c>
      <c r="C2877" s="4" t="s">
        <v>21</v>
      </c>
      <c r="D2877" s="4" t="s">
        <v>22</v>
      </c>
      <c r="E2877" s="4" t="s">
        <v>23</v>
      </c>
      <c r="F2877" s="4" t="s">
        <v>24</v>
      </c>
    </row>
    <row r="2878" spans="1:6" ht="15.75" thickBot="1" x14ac:dyDescent="0.3">
      <c r="A2878" s="32" t="s">
        <v>344</v>
      </c>
      <c r="B2878" s="32" t="s">
        <v>345</v>
      </c>
      <c r="C2878" s="32" t="s">
        <v>27</v>
      </c>
      <c r="D2878" s="6" t="s">
        <v>188</v>
      </c>
      <c r="E2878" s="6" t="s">
        <v>262</v>
      </c>
      <c r="F2878" s="6"/>
    </row>
    <row r="2879" spans="1:6" ht="15.75" thickBot="1" x14ac:dyDescent="0.3">
      <c r="A2879" s="35" t="s">
        <v>31</v>
      </c>
      <c r="B2879" s="7" t="s">
        <v>32</v>
      </c>
      <c r="C2879" s="15">
        <v>45383</v>
      </c>
      <c r="D2879" s="35" t="s">
        <v>33</v>
      </c>
      <c r="E2879" s="7" t="s">
        <v>34</v>
      </c>
      <c r="F2879" s="6"/>
    </row>
    <row r="2880" spans="1:6" ht="15.75" thickBot="1" x14ac:dyDescent="0.3">
      <c r="A2880" s="36"/>
      <c r="B2880" s="7" t="s">
        <v>36</v>
      </c>
      <c r="C2880" s="5">
        <f>IF(C2879="","",IF(AND(MONTH(C2879)&gt;=1,MONTH(C2879)&lt;=3),1,IF(AND(MONTH(C2879)&gt;=4,MONTH(C2879)&lt;=6),2,IF(AND(MONTH(C2879)&gt;=7,MONTH(C2879)&lt;=9),3,4))))</f>
        <v>2</v>
      </c>
      <c r="D2880" s="36"/>
      <c r="E2880" s="7" t="s">
        <v>37</v>
      </c>
      <c r="F2880" s="6"/>
    </row>
    <row r="2881" spans="1:6" ht="15.75" thickBot="1" x14ac:dyDescent="0.3">
      <c r="A2881" s="36"/>
      <c r="B2881" s="7" t="s">
        <v>39</v>
      </c>
      <c r="C2881" s="15">
        <v>45473</v>
      </c>
      <c r="D2881" s="36"/>
      <c r="E2881" s="7" t="s">
        <v>40</v>
      </c>
      <c r="F2881" s="6"/>
    </row>
    <row r="2882" spans="1:6" ht="15.75" thickBot="1" x14ac:dyDescent="0.3">
      <c r="A2882" s="36"/>
      <c r="B2882" s="7" t="s">
        <v>36</v>
      </c>
      <c r="C2882" s="5">
        <f>IF(C2881="","",IF(AND(MONTH(C2881)&gt;=1,MONTH(C2881)&lt;=3),1,IF(AND(MONTH(C2881)&gt;=4,MONTH(C2881)&lt;=6),2,IF(AND(MONTH(C2881)&gt;=7,MONTH(C2881)&lt;=9),3,4))))</f>
        <v>2</v>
      </c>
      <c r="D2882" s="36"/>
      <c r="E2882" s="7" t="s">
        <v>41</v>
      </c>
      <c r="F2882" s="6"/>
    </row>
    <row r="2883" spans="1:6" ht="15.75" thickBot="1" x14ac:dyDescent="0.3">
      <c r="A2883" s="40"/>
      <c r="B2883" s="40"/>
      <c r="C2883" s="40"/>
      <c r="D2883" s="40"/>
      <c r="E2883" s="40"/>
      <c r="F2883" s="40"/>
    </row>
    <row r="2884" spans="1:6" ht="15.75" thickBot="1" x14ac:dyDescent="0.3">
      <c r="A2884" s="12" t="s">
        <v>42</v>
      </c>
      <c r="B2884" s="12" t="s">
        <v>43</v>
      </c>
      <c r="C2884" s="12" t="s">
        <v>44</v>
      </c>
      <c r="D2884" s="12" t="s">
        <v>45</v>
      </c>
      <c r="E2884" s="12" t="s">
        <v>46</v>
      </c>
      <c r="F2884" s="12" t="s">
        <v>47</v>
      </c>
    </row>
    <row r="2885" spans="1:6" x14ac:dyDescent="0.25">
      <c r="A2885" s="8">
        <v>45111802</v>
      </c>
      <c r="B2885" s="9" t="str">
        <f ca="1">IFERROR(INDEX(UNSPSCDes,MATCH(INDIRECT(ADDRESS(ROW(),COLUMN()-1,4)),UNSPSCCode,0)),"")</f>
        <v>Soportes para televisiones</v>
      </c>
      <c r="C2885" s="8" t="s">
        <v>55</v>
      </c>
      <c r="D2885" s="8">
        <v>2</v>
      </c>
      <c r="E2885" s="11">
        <v>23895</v>
      </c>
      <c r="F2885" s="10">
        <f ca="1">INDIRECT(ADDRESS(ROW(),COLUMN()-2,4))*INDIRECT(ADDRESS(ROW(),COLUMN()-1,4))</f>
        <v>47790</v>
      </c>
    </row>
    <row r="2886" spans="1:6" x14ac:dyDescent="0.25">
      <c r="A2886" s="8">
        <v>52161505</v>
      </c>
      <c r="B2886" s="9" t="str">
        <f ca="1">IFERROR(INDEX(UNSPSCDes,MATCH(INDIRECT(ADDRESS(ROW(),COLUMN()-1,4)),UNSPSCCode,0)),"")</f>
        <v>Televisores</v>
      </c>
      <c r="C2886" s="33" t="s">
        <v>55</v>
      </c>
      <c r="D2886" s="8">
        <v>2</v>
      </c>
      <c r="E2886" s="11">
        <v>58056</v>
      </c>
      <c r="F2886" s="10">
        <f ca="1">INDIRECT(ADDRESS(ROW(),COLUMN()-2,4))*INDIRECT(ADDRESS(ROW(),COLUMN()-1,4))</f>
        <v>116112</v>
      </c>
    </row>
    <row r="2887" spans="1:6" x14ac:dyDescent="0.25">
      <c r="A2887" s="40"/>
      <c r="B2887" s="40"/>
      <c r="C2887" s="40"/>
      <c r="D2887" s="40"/>
      <c r="E2887" s="13" t="s">
        <v>87</v>
      </c>
      <c r="F2887" s="14">
        <f ca="1">SUM(Table388[MONTO TOTAL ESTIMADO])</f>
        <v>163902</v>
      </c>
    </row>
    <row r="2888" spans="1:6" ht="15.75" thickBot="1" x14ac:dyDescent="0.3">
      <c r="A2888" s="42"/>
      <c r="B2888" s="42"/>
      <c r="C2888" s="42"/>
      <c r="D2888" s="42"/>
      <c r="E2888" s="42"/>
      <c r="F2888" s="42"/>
    </row>
    <row r="2889" spans="1:6" ht="23.25" thickBot="1" x14ac:dyDescent="0.3">
      <c r="A2889" s="4" t="s">
        <v>19</v>
      </c>
      <c r="B2889" s="4" t="s">
        <v>20</v>
      </c>
      <c r="C2889" s="4" t="s">
        <v>21</v>
      </c>
      <c r="D2889" s="4" t="s">
        <v>22</v>
      </c>
      <c r="E2889" s="4" t="s">
        <v>23</v>
      </c>
      <c r="F2889" s="4" t="s">
        <v>24</v>
      </c>
    </row>
    <row r="2890" spans="1:6" ht="15.75" thickBot="1" x14ac:dyDescent="0.3">
      <c r="A2890" s="32" t="s">
        <v>347</v>
      </c>
      <c r="B2890" s="32" t="s">
        <v>348</v>
      </c>
      <c r="C2890" s="32" t="s">
        <v>27</v>
      </c>
      <c r="D2890" s="6" t="s">
        <v>188</v>
      </c>
      <c r="E2890" s="6" t="s">
        <v>262</v>
      </c>
      <c r="F2890" s="6"/>
    </row>
    <row r="2891" spans="1:6" ht="15.75" thickBot="1" x14ac:dyDescent="0.3">
      <c r="A2891" s="35" t="s">
        <v>31</v>
      </c>
      <c r="B2891" s="7" t="s">
        <v>32</v>
      </c>
      <c r="C2891" s="15">
        <v>45383</v>
      </c>
      <c r="D2891" s="35" t="s">
        <v>33</v>
      </c>
      <c r="E2891" s="7" t="s">
        <v>34</v>
      </c>
      <c r="F2891" s="6"/>
    </row>
    <row r="2892" spans="1:6" ht="15.75" thickBot="1" x14ac:dyDescent="0.3">
      <c r="A2892" s="36"/>
      <c r="B2892" s="7" t="s">
        <v>36</v>
      </c>
      <c r="C2892" s="5">
        <f>IF(C2891="","",IF(AND(MONTH(C2891)&gt;=1,MONTH(C2891)&lt;=3),1,IF(AND(MONTH(C2891)&gt;=4,MONTH(C2891)&lt;=6),2,IF(AND(MONTH(C2891)&gt;=7,MONTH(C2891)&lt;=9),3,4))))</f>
        <v>2</v>
      </c>
      <c r="D2892" s="36"/>
      <c r="E2892" s="7" t="s">
        <v>37</v>
      </c>
      <c r="F2892" s="6"/>
    </row>
    <row r="2893" spans="1:6" ht="15.75" thickBot="1" x14ac:dyDescent="0.3">
      <c r="A2893" s="36"/>
      <c r="B2893" s="7" t="s">
        <v>39</v>
      </c>
      <c r="C2893" s="15">
        <v>45473</v>
      </c>
      <c r="D2893" s="36"/>
      <c r="E2893" s="7" t="s">
        <v>40</v>
      </c>
      <c r="F2893" s="6"/>
    </row>
    <row r="2894" spans="1:6" ht="15.75" thickBot="1" x14ac:dyDescent="0.3">
      <c r="A2894" s="36"/>
      <c r="B2894" s="7" t="s">
        <v>36</v>
      </c>
      <c r="C2894" s="5">
        <f>IF(C2893="","",IF(AND(MONTH(C2893)&gt;=1,MONTH(C2893)&lt;=3),1,IF(AND(MONTH(C2893)&gt;=4,MONTH(C2893)&lt;=6),2,IF(AND(MONTH(C2893)&gt;=7,MONTH(C2893)&lt;=9),3,4))))</f>
        <v>2</v>
      </c>
      <c r="D2894" s="36"/>
      <c r="E2894" s="7" t="s">
        <v>41</v>
      </c>
      <c r="F2894" s="6"/>
    </row>
    <row r="2895" spans="1:6" ht="15.75" thickBot="1" x14ac:dyDescent="0.3">
      <c r="A2895" s="40"/>
      <c r="B2895" s="40"/>
      <c r="C2895" s="40"/>
      <c r="D2895" s="40"/>
      <c r="E2895" s="40"/>
      <c r="F2895" s="40"/>
    </row>
    <row r="2896" spans="1:6" ht="15.75" thickBot="1" x14ac:dyDescent="0.3">
      <c r="A2896" s="12" t="s">
        <v>42</v>
      </c>
      <c r="B2896" s="12" t="s">
        <v>43</v>
      </c>
      <c r="C2896" s="12" t="s">
        <v>44</v>
      </c>
      <c r="D2896" s="12" t="s">
        <v>45</v>
      </c>
      <c r="E2896" s="12" t="s">
        <v>46</v>
      </c>
      <c r="F2896" s="12" t="s">
        <v>47</v>
      </c>
    </row>
    <row r="2897" spans="1:6" x14ac:dyDescent="0.25">
      <c r="A2897" s="8">
        <v>52161509</v>
      </c>
      <c r="B2897" s="9" t="str">
        <f ca="1">IFERROR(INDEX(UNSPSCDes,MATCH(INDIRECT(ADDRESS(ROW(),COLUMN()-1,4)),UNSPSCCode,0)),"")</f>
        <v>Sistemas de estéreo portátiles</v>
      </c>
      <c r="C2897" s="33" t="s">
        <v>55</v>
      </c>
      <c r="D2897" s="8">
        <v>6</v>
      </c>
      <c r="E2897" s="11">
        <v>12980</v>
      </c>
      <c r="F2897" s="10">
        <f ca="1">INDIRECT(ADDRESS(ROW(),COLUMN()-2,4))*INDIRECT(ADDRESS(ROW(),COLUMN()-1,4))</f>
        <v>77880</v>
      </c>
    </row>
    <row r="2898" spans="1:6" x14ac:dyDescent="0.25">
      <c r="A2898" s="40"/>
      <c r="B2898" s="40"/>
      <c r="C2898" s="40"/>
      <c r="D2898" s="40"/>
      <c r="E2898" s="13" t="s">
        <v>87</v>
      </c>
      <c r="F2898" s="14">
        <f ca="1">SUM(Table389[MONTO TOTAL ESTIMADO])</f>
        <v>77880</v>
      </c>
    </row>
    <row r="2899" spans="1:6" ht="15.75" thickBot="1" x14ac:dyDescent="0.3">
      <c r="A2899" s="42"/>
      <c r="B2899" s="42"/>
      <c r="C2899" s="42"/>
      <c r="D2899" s="42"/>
      <c r="E2899" s="42"/>
      <c r="F2899" s="42"/>
    </row>
    <row r="2900" spans="1:6" ht="23.25" thickBot="1" x14ac:dyDescent="0.3">
      <c r="A2900" s="4" t="s">
        <v>19</v>
      </c>
      <c r="B2900" s="4" t="s">
        <v>20</v>
      </c>
      <c r="C2900" s="4" t="s">
        <v>21</v>
      </c>
      <c r="D2900" s="4" t="s">
        <v>22</v>
      </c>
      <c r="E2900" s="4" t="s">
        <v>23</v>
      </c>
      <c r="F2900" s="4" t="s">
        <v>24</v>
      </c>
    </row>
    <row r="2901" spans="1:6" ht="15.75" thickBot="1" x14ac:dyDescent="0.3">
      <c r="A2901" s="32" t="s">
        <v>350</v>
      </c>
      <c r="B2901" s="32" t="s">
        <v>351</v>
      </c>
      <c r="C2901" s="32" t="s">
        <v>27</v>
      </c>
      <c r="D2901" s="6" t="s">
        <v>188</v>
      </c>
      <c r="E2901" s="6" t="s">
        <v>262</v>
      </c>
      <c r="F2901" s="6"/>
    </row>
    <row r="2902" spans="1:6" ht="15.75" thickBot="1" x14ac:dyDescent="0.3">
      <c r="A2902" s="35" t="s">
        <v>31</v>
      </c>
      <c r="B2902" s="7" t="s">
        <v>32</v>
      </c>
      <c r="C2902" s="15">
        <v>45383</v>
      </c>
      <c r="D2902" s="35" t="s">
        <v>33</v>
      </c>
      <c r="E2902" s="7" t="s">
        <v>34</v>
      </c>
      <c r="F2902" s="6"/>
    </row>
    <row r="2903" spans="1:6" ht="15.75" thickBot="1" x14ac:dyDescent="0.3">
      <c r="A2903" s="36"/>
      <c r="B2903" s="7" t="s">
        <v>36</v>
      </c>
      <c r="C2903" s="5">
        <f>IF(C2902="","",IF(AND(MONTH(C2902)&gt;=1,MONTH(C2902)&lt;=3),1,IF(AND(MONTH(C2902)&gt;=4,MONTH(C2902)&lt;=6),2,IF(AND(MONTH(C2902)&gt;=7,MONTH(C2902)&lt;=9),3,4))))</f>
        <v>2</v>
      </c>
      <c r="D2903" s="36"/>
      <c r="E2903" s="7" t="s">
        <v>37</v>
      </c>
      <c r="F2903" s="6"/>
    </row>
    <row r="2904" spans="1:6" ht="15.75" thickBot="1" x14ac:dyDescent="0.3">
      <c r="A2904" s="36"/>
      <c r="B2904" s="7" t="s">
        <v>39</v>
      </c>
      <c r="C2904" s="15">
        <v>45473</v>
      </c>
      <c r="D2904" s="36"/>
      <c r="E2904" s="7" t="s">
        <v>40</v>
      </c>
      <c r="F2904" s="6"/>
    </row>
    <row r="2905" spans="1:6" ht="15.75" thickBot="1" x14ac:dyDescent="0.3">
      <c r="A2905" s="36"/>
      <c r="B2905" s="7" t="s">
        <v>36</v>
      </c>
      <c r="C2905" s="5">
        <f>IF(C2904="","",IF(AND(MONTH(C2904)&gt;=1,MONTH(C2904)&lt;=3),1,IF(AND(MONTH(C2904)&gt;=4,MONTH(C2904)&lt;=6),2,IF(AND(MONTH(C2904)&gt;=7,MONTH(C2904)&lt;=9),3,4))))</f>
        <v>2</v>
      </c>
      <c r="D2905" s="36"/>
      <c r="E2905" s="7" t="s">
        <v>41</v>
      </c>
      <c r="F2905" s="6"/>
    </row>
    <row r="2906" spans="1:6" ht="15.75" thickBot="1" x14ac:dyDescent="0.3">
      <c r="A2906" s="40"/>
      <c r="B2906" s="40"/>
      <c r="C2906" s="40"/>
      <c r="D2906" s="40"/>
      <c r="E2906" s="40"/>
      <c r="F2906" s="40"/>
    </row>
    <row r="2907" spans="1:6" ht="15.75" thickBot="1" x14ac:dyDescent="0.3">
      <c r="A2907" s="12" t="s">
        <v>42</v>
      </c>
      <c r="B2907" s="12" t="s">
        <v>43</v>
      </c>
      <c r="C2907" s="12" t="s">
        <v>44</v>
      </c>
      <c r="D2907" s="12" t="s">
        <v>45</v>
      </c>
      <c r="E2907" s="12" t="s">
        <v>46</v>
      </c>
      <c r="F2907" s="12" t="s">
        <v>47</v>
      </c>
    </row>
    <row r="2908" spans="1:6" x14ac:dyDescent="0.25">
      <c r="A2908" s="8">
        <v>52121701</v>
      </c>
      <c r="B2908" s="9" t="str">
        <f ca="1">IFERROR(INDEX(UNSPSCDes,MATCH(INDIRECT(ADDRESS(ROW(),COLUMN()-1,4)),UNSPSCCode,0)),"")</f>
        <v>Toallas de baño</v>
      </c>
      <c r="C2908" s="33" t="s">
        <v>55</v>
      </c>
      <c r="D2908" s="8">
        <v>500</v>
      </c>
      <c r="E2908" s="11">
        <v>2950</v>
      </c>
      <c r="F2908" s="10">
        <f ca="1">INDIRECT(ADDRESS(ROW(),COLUMN()-2,4))*INDIRECT(ADDRESS(ROW(),COLUMN()-1,4))</f>
        <v>1475000</v>
      </c>
    </row>
    <row r="2909" spans="1:6" x14ac:dyDescent="0.25">
      <c r="A2909" s="40"/>
      <c r="B2909" s="40"/>
      <c r="C2909" s="40"/>
      <c r="D2909" s="40"/>
      <c r="E2909" s="13" t="s">
        <v>87</v>
      </c>
      <c r="F2909" s="14">
        <f ca="1">SUM(Table390[MONTO TOTAL ESTIMADO])</f>
        <v>1475000</v>
      </c>
    </row>
    <row r="2910" spans="1:6" ht="15.75" thickBot="1" x14ac:dyDescent="0.3">
      <c r="A2910" s="42"/>
      <c r="B2910" s="42"/>
      <c r="C2910" s="42"/>
      <c r="D2910" s="42"/>
      <c r="E2910" s="42"/>
      <c r="F2910" s="42"/>
    </row>
    <row r="2911" spans="1:6" ht="23.25" thickBot="1" x14ac:dyDescent="0.3">
      <c r="A2911" s="4" t="s">
        <v>19</v>
      </c>
      <c r="B2911" s="4" t="s">
        <v>20</v>
      </c>
      <c r="C2911" s="4" t="s">
        <v>21</v>
      </c>
      <c r="D2911" s="4" t="s">
        <v>22</v>
      </c>
      <c r="E2911" s="4" t="s">
        <v>23</v>
      </c>
      <c r="F2911" s="4" t="s">
        <v>24</v>
      </c>
    </row>
    <row r="2912" spans="1:6" ht="15.75" thickBot="1" x14ac:dyDescent="0.3">
      <c r="A2912" s="32" t="s">
        <v>353</v>
      </c>
      <c r="B2912" s="32" t="s">
        <v>354</v>
      </c>
      <c r="C2912" s="32" t="s">
        <v>129</v>
      </c>
      <c r="D2912" s="6" t="s">
        <v>28</v>
      </c>
      <c r="E2912" s="6" t="s">
        <v>262</v>
      </c>
      <c r="F2912" s="6"/>
    </row>
    <row r="2913" spans="1:6" ht="15.75" thickBot="1" x14ac:dyDescent="0.3">
      <c r="A2913" s="35" t="s">
        <v>31</v>
      </c>
      <c r="B2913" s="7" t="s">
        <v>32</v>
      </c>
      <c r="C2913" s="15">
        <v>45383</v>
      </c>
      <c r="D2913" s="35" t="s">
        <v>33</v>
      </c>
      <c r="E2913" s="7" t="s">
        <v>34</v>
      </c>
      <c r="F2913" s="6"/>
    </row>
    <row r="2914" spans="1:6" ht="15.75" thickBot="1" x14ac:dyDescent="0.3">
      <c r="A2914" s="36"/>
      <c r="B2914" s="7" t="s">
        <v>36</v>
      </c>
      <c r="C2914" s="5">
        <f>IF(C2913="","",IF(AND(MONTH(C2913)&gt;=1,MONTH(C2913)&lt;=3),1,IF(AND(MONTH(C2913)&gt;=4,MONTH(C2913)&lt;=6),2,IF(AND(MONTH(C2913)&gt;=7,MONTH(C2913)&lt;=9),3,4))))</f>
        <v>2</v>
      </c>
      <c r="D2914" s="36"/>
      <c r="E2914" s="7" t="s">
        <v>37</v>
      </c>
      <c r="F2914" s="6"/>
    </row>
    <row r="2915" spans="1:6" ht="15.75" thickBot="1" x14ac:dyDescent="0.3">
      <c r="A2915" s="36"/>
      <c r="B2915" s="7" t="s">
        <v>39</v>
      </c>
      <c r="C2915" s="15">
        <v>45473</v>
      </c>
      <c r="D2915" s="36"/>
      <c r="E2915" s="7" t="s">
        <v>40</v>
      </c>
      <c r="F2915" s="6"/>
    </row>
    <row r="2916" spans="1:6" ht="15.75" thickBot="1" x14ac:dyDescent="0.3">
      <c r="A2916" s="36"/>
      <c r="B2916" s="7" t="s">
        <v>36</v>
      </c>
      <c r="C2916" s="5">
        <f>IF(C2915="","",IF(AND(MONTH(C2915)&gt;=1,MONTH(C2915)&lt;=3),1,IF(AND(MONTH(C2915)&gt;=4,MONTH(C2915)&lt;=6),2,IF(AND(MONTH(C2915)&gt;=7,MONTH(C2915)&lt;=9),3,4))))</f>
        <v>2</v>
      </c>
      <c r="D2916" s="36"/>
      <c r="E2916" s="7" t="s">
        <v>41</v>
      </c>
      <c r="F2916" s="6"/>
    </row>
    <row r="2917" spans="1:6" ht="15.75" thickBot="1" x14ac:dyDescent="0.3">
      <c r="A2917" s="40"/>
      <c r="B2917" s="40"/>
      <c r="C2917" s="40"/>
      <c r="D2917" s="40"/>
      <c r="E2917" s="40"/>
      <c r="F2917" s="40"/>
    </row>
    <row r="2918" spans="1:6" ht="15.75" thickBot="1" x14ac:dyDescent="0.3">
      <c r="A2918" s="12" t="s">
        <v>42</v>
      </c>
      <c r="B2918" s="12" t="s">
        <v>43</v>
      </c>
      <c r="C2918" s="12" t="s">
        <v>44</v>
      </c>
      <c r="D2918" s="12" t="s">
        <v>45</v>
      </c>
      <c r="E2918" s="12" t="s">
        <v>46</v>
      </c>
      <c r="F2918" s="12" t="s">
        <v>47</v>
      </c>
    </row>
    <row r="2919" spans="1:6" x14ac:dyDescent="0.25">
      <c r="A2919" s="8">
        <v>15101505</v>
      </c>
      <c r="B2919" s="9" t="str">
        <f ca="1">IFERROR(INDEX(UNSPSCDes,MATCH(INDIRECT(ADDRESS(ROW(),COLUMN()-1,4)),UNSPSCCode,0)),"")</f>
        <v>Combustible diesel</v>
      </c>
      <c r="C2919" s="8" t="s">
        <v>92</v>
      </c>
      <c r="D2919" s="8">
        <v>1000</v>
      </c>
      <c r="E2919" s="11">
        <v>293.10000000000002</v>
      </c>
      <c r="F2919" s="10">
        <f ca="1">INDIRECT(ADDRESS(ROW(),COLUMN()-2,4))*INDIRECT(ADDRESS(ROW(),COLUMN()-1,4))</f>
        <v>293100</v>
      </c>
    </row>
    <row r="2920" spans="1:6" x14ac:dyDescent="0.25">
      <c r="A2920" s="40"/>
      <c r="B2920" s="40"/>
      <c r="C2920" s="40"/>
      <c r="D2920" s="40"/>
      <c r="E2920" s="13" t="s">
        <v>87</v>
      </c>
      <c r="F2920" s="14">
        <f ca="1">SUM(Table391[MONTO TOTAL ESTIMADO])</f>
        <v>293100</v>
      </c>
    </row>
    <row r="2921" spans="1:6" ht="15.75" thickBot="1" x14ac:dyDescent="0.3">
      <c r="A2921" s="42"/>
      <c r="B2921" s="42"/>
      <c r="C2921" s="42"/>
      <c r="D2921" s="42"/>
      <c r="E2921" s="42"/>
      <c r="F2921" s="42"/>
    </row>
    <row r="2922" spans="1:6" ht="23.25" thickBot="1" x14ac:dyDescent="0.3">
      <c r="A2922" s="4" t="s">
        <v>19</v>
      </c>
      <c r="B2922" s="4" t="s">
        <v>20</v>
      </c>
      <c r="C2922" s="4" t="s">
        <v>21</v>
      </c>
      <c r="D2922" s="4" t="s">
        <v>22</v>
      </c>
      <c r="E2922" s="4" t="s">
        <v>23</v>
      </c>
      <c r="F2922" s="4" t="s">
        <v>24</v>
      </c>
    </row>
    <row r="2923" spans="1:6" ht="15.75" thickBot="1" x14ac:dyDescent="0.3">
      <c r="A2923" s="32" t="s">
        <v>355</v>
      </c>
      <c r="B2923" s="32" t="s">
        <v>356</v>
      </c>
      <c r="C2923" s="32" t="s">
        <v>27</v>
      </c>
      <c r="D2923" s="6" t="s">
        <v>28</v>
      </c>
      <c r="E2923" s="32" t="s">
        <v>29</v>
      </c>
      <c r="F2923" s="6"/>
    </row>
    <row r="2924" spans="1:6" ht="15.75" thickBot="1" x14ac:dyDescent="0.3">
      <c r="A2924" s="35" t="s">
        <v>31</v>
      </c>
      <c r="B2924" s="7" t="s">
        <v>32</v>
      </c>
      <c r="C2924" s="15">
        <v>45383</v>
      </c>
      <c r="D2924" s="35" t="s">
        <v>33</v>
      </c>
      <c r="E2924" s="7" t="s">
        <v>34</v>
      </c>
      <c r="F2924" s="6"/>
    </row>
    <row r="2925" spans="1:6" ht="15.75" thickBot="1" x14ac:dyDescent="0.3">
      <c r="A2925" s="36"/>
      <c r="B2925" s="7" t="s">
        <v>36</v>
      </c>
      <c r="C2925" s="5">
        <f>IF(C2924="","",IF(AND(MONTH(C2924)&gt;=1,MONTH(C2924)&lt;=3),1,IF(AND(MONTH(C2924)&gt;=4,MONTH(C2924)&lt;=6),2,IF(AND(MONTH(C2924)&gt;=7,MONTH(C2924)&lt;=9),3,4))))</f>
        <v>2</v>
      </c>
      <c r="D2925" s="36"/>
      <c r="E2925" s="7" t="s">
        <v>37</v>
      </c>
      <c r="F2925" s="6"/>
    </row>
    <row r="2926" spans="1:6" ht="15.75" thickBot="1" x14ac:dyDescent="0.3">
      <c r="A2926" s="36"/>
      <c r="B2926" s="7" t="s">
        <v>39</v>
      </c>
      <c r="C2926" s="15">
        <v>45473</v>
      </c>
      <c r="D2926" s="36"/>
      <c r="E2926" s="7" t="s">
        <v>40</v>
      </c>
      <c r="F2926" s="6"/>
    </row>
    <row r="2927" spans="1:6" ht="15.75" thickBot="1" x14ac:dyDescent="0.3">
      <c r="A2927" s="36"/>
      <c r="B2927" s="7" t="s">
        <v>36</v>
      </c>
      <c r="C2927" s="5">
        <f>IF(C2926="","",IF(AND(MONTH(C2926)&gt;=1,MONTH(C2926)&lt;=3),1,IF(AND(MONTH(C2926)&gt;=4,MONTH(C2926)&lt;=6),2,IF(AND(MONTH(C2926)&gt;=7,MONTH(C2926)&lt;=9),3,4))))</f>
        <v>2</v>
      </c>
      <c r="D2927" s="36"/>
      <c r="E2927" s="7" t="s">
        <v>41</v>
      </c>
      <c r="F2927" s="6"/>
    </row>
    <row r="2928" spans="1:6" ht="15.75" thickBot="1" x14ac:dyDescent="0.3">
      <c r="A2928" s="40"/>
      <c r="B2928" s="40"/>
      <c r="C2928" s="40"/>
      <c r="D2928" s="40"/>
      <c r="E2928" s="40"/>
      <c r="F2928" s="40"/>
    </row>
    <row r="2929" spans="1:6" ht="15.75" thickBot="1" x14ac:dyDescent="0.3">
      <c r="A2929" s="12" t="s">
        <v>42</v>
      </c>
      <c r="B2929" s="12" t="s">
        <v>43</v>
      </c>
      <c r="C2929" s="12" t="s">
        <v>44</v>
      </c>
      <c r="D2929" s="12" t="s">
        <v>45</v>
      </c>
      <c r="E2929" s="12" t="s">
        <v>46</v>
      </c>
      <c r="F2929" s="12" t="s">
        <v>47</v>
      </c>
    </row>
    <row r="2930" spans="1:6" x14ac:dyDescent="0.25">
      <c r="A2930" s="8">
        <v>26121607</v>
      </c>
      <c r="B2930" s="9" t="str">
        <f t="shared" ref="B2930:B2945" ca="1" si="11">IFERROR(INDEX(UNSPSCDes,MATCH(INDIRECT(ADDRESS(ROW(),COLUMN()-1,4)),UNSPSCCode,0)),"")</f>
        <v>Cable de fibra óptica</v>
      </c>
      <c r="C2930" s="8" t="s">
        <v>55</v>
      </c>
      <c r="D2930" s="8">
        <v>4</v>
      </c>
      <c r="E2930" s="11">
        <v>17582</v>
      </c>
      <c r="F2930" s="10">
        <f t="shared" ref="F2930:F2945" ca="1" si="12">INDIRECT(ADDRESS(ROW(),COLUMN()-2,4))*INDIRECT(ADDRESS(ROW(),COLUMN()-1,4))</f>
        <v>70328</v>
      </c>
    </row>
    <row r="2931" spans="1:6" x14ac:dyDescent="0.25">
      <c r="A2931" s="8">
        <v>26121607</v>
      </c>
      <c r="B2931" s="9" t="str">
        <f t="shared" ca="1" si="11"/>
        <v>Cable de fibra óptica</v>
      </c>
      <c r="C2931" s="33" t="s">
        <v>55</v>
      </c>
      <c r="D2931" s="8">
        <v>20</v>
      </c>
      <c r="E2931" s="11">
        <v>1888</v>
      </c>
      <c r="F2931" s="10">
        <f t="shared" ca="1" si="12"/>
        <v>37760</v>
      </c>
    </row>
    <row r="2932" spans="1:6" x14ac:dyDescent="0.25">
      <c r="A2932" s="8">
        <v>26121607</v>
      </c>
      <c r="B2932" s="9" t="str">
        <f t="shared" ca="1" si="11"/>
        <v>Cable de fibra óptica</v>
      </c>
      <c r="C2932" s="33" t="s">
        <v>55</v>
      </c>
      <c r="D2932" s="8">
        <v>12</v>
      </c>
      <c r="E2932" s="11">
        <v>2360</v>
      </c>
      <c r="F2932" s="10">
        <f t="shared" ca="1" si="12"/>
        <v>28320</v>
      </c>
    </row>
    <row r="2933" spans="1:6" x14ac:dyDescent="0.25">
      <c r="A2933" s="8">
        <v>43201553</v>
      </c>
      <c r="B2933" s="9" t="str">
        <f t="shared" ca="1" si="11"/>
        <v>Convertidores de transceptores y medios</v>
      </c>
      <c r="C2933" s="33" t="s">
        <v>55</v>
      </c>
      <c r="D2933" s="8">
        <v>16</v>
      </c>
      <c r="E2933" s="11">
        <v>20768</v>
      </c>
      <c r="F2933" s="10">
        <f t="shared" ca="1" si="12"/>
        <v>332288</v>
      </c>
    </row>
    <row r="2934" spans="1:6" x14ac:dyDescent="0.25">
      <c r="A2934" s="8">
        <v>43201553</v>
      </c>
      <c r="B2934" s="9" t="str">
        <f t="shared" ca="1" si="11"/>
        <v>Convertidores de transceptores y medios</v>
      </c>
      <c r="C2934" s="33" t="s">
        <v>55</v>
      </c>
      <c r="D2934" s="8">
        <v>16</v>
      </c>
      <c r="E2934" s="11">
        <v>7670</v>
      </c>
      <c r="F2934" s="10">
        <f t="shared" ca="1" si="12"/>
        <v>122720</v>
      </c>
    </row>
    <row r="2935" spans="1:6" x14ac:dyDescent="0.25">
      <c r="A2935" s="8">
        <v>26121609</v>
      </c>
      <c r="B2935" s="9" t="str">
        <f t="shared" ca="1" si="11"/>
        <v>Cable de redes</v>
      </c>
      <c r="C2935" s="33" t="s">
        <v>55</v>
      </c>
      <c r="D2935" s="8">
        <v>22</v>
      </c>
      <c r="E2935" s="11">
        <v>5015</v>
      </c>
      <c r="F2935" s="10">
        <f t="shared" ca="1" si="12"/>
        <v>110330</v>
      </c>
    </row>
    <row r="2936" spans="1:6" x14ac:dyDescent="0.25">
      <c r="A2936" s="8">
        <v>26121609</v>
      </c>
      <c r="B2936" s="9" t="str">
        <f t="shared" ca="1" si="11"/>
        <v>Cable de redes</v>
      </c>
      <c r="C2936" s="33" t="s">
        <v>55</v>
      </c>
      <c r="D2936" s="8">
        <v>20</v>
      </c>
      <c r="E2936" s="11">
        <v>2891</v>
      </c>
      <c r="F2936" s="10">
        <f t="shared" ca="1" si="12"/>
        <v>57820</v>
      </c>
    </row>
    <row r="2937" spans="1:6" x14ac:dyDescent="0.25">
      <c r="A2937" s="8">
        <v>47121602</v>
      </c>
      <c r="B2937" s="9" t="str">
        <f t="shared" ca="1" si="11"/>
        <v>Aspiradoras</v>
      </c>
      <c r="C2937" s="33" t="s">
        <v>55</v>
      </c>
      <c r="D2937" s="8">
        <v>2</v>
      </c>
      <c r="E2937" s="11">
        <v>12862</v>
      </c>
      <c r="F2937" s="10">
        <f t="shared" ca="1" si="12"/>
        <v>25724</v>
      </c>
    </row>
    <row r="2938" spans="1:6" x14ac:dyDescent="0.25">
      <c r="A2938" s="8">
        <v>43201807</v>
      </c>
      <c r="B2938" s="9" t="str">
        <f t="shared" ca="1" si="11"/>
        <v>Unidades de cintas</v>
      </c>
      <c r="C2938" s="33" t="s">
        <v>55</v>
      </c>
      <c r="D2938" s="8">
        <v>32</v>
      </c>
      <c r="E2938" s="11">
        <v>5369</v>
      </c>
      <c r="F2938" s="10">
        <f t="shared" ca="1" si="12"/>
        <v>171808</v>
      </c>
    </row>
    <row r="2939" spans="1:6" x14ac:dyDescent="0.25">
      <c r="A2939" s="8">
        <v>43201404</v>
      </c>
      <c r="B2939" s="9" t="str">
        <f t="shared" ca="1" si="11"/>
        <v>Tarjetas de interface de red</v>
      </c>
      <c r="C2939" s="33" t="s">
        <v>55</v>
      </c>
      <c r="D2939" s="8">
        <v>2</v>
      </c>
      <c r="E2939" s="11">
        <v>23434.799999999999</v>
      </c>
      <c r="F2939" s="10">
        <f t="shared" ca="1" si="12"/>
        <v>46869.599999999999</v>
      </c>
    </row>
    <row r="2940" spans="1:6" x14ac:dyDescent="0.25">
      <c r="A2940" s="8">
        <v>43201404</v>
      </c>
      <c r="B2940" s="9" t="str">
        <f t="shared" ca="1" si="11"/>
        <v>Tarjetas de interface de red</v>
      </c>
      <c r="C2940" s="33" t="s">
        <v>55</v>
      </c>
      <c r="D2940" s="8">
        <v>1</v>
      </c>
      <c r="E2940" s="11">
        <v>17700</v>
      </c>
      <c r="F2940" s="10">
        <f t="shared" ca="1" si="12"/>
        <v>17700</v>
      </c>
    </row>
    <row r="2941" spans="1:6" x14ac:dyDescent="0.25">
      <c r="A2941" s="8">
        <v>39121011</v>
      </c>
      <c r="B2941" s="9" t="str">
        <f t="shared" ca="1" si="11"/>
        <v>Fuentes ininterrumpibles de potencia</v>
      </c>
      <c r="C2941" s="33" t="s">
        <v>55</v>
      </c>
      <c r="D2941" s="8">
        <v>2</v>
      </c>
      <c r="E2941" s="11">
        <v>36462</v>
      </c>
      <c r="F2941" s="10">
        <f t="shared" ca="1" si="12"/>
        <v>72924</v>
      </c>
    </row>
    <row r="2942" spans="1:6" x14ac:dyDescent="0.25">
      <c r="A2942" s="8">
        <v>39121702</v>
      </c>
      <c r="B2942" s="9" t="str">
        <f t="shared" ca="1" si="11"/>
        <v>Clips para cables</v>
      </c>
      <c r="C2942" s="33" t="s">
        <v>55</v>
      </c>
      <c r="D2942" s="8">
        <v>2</v>
      </c>
      <c r="E2942" s="11">
        <v>20001</v>
      </c>
      <c r="F2942" s="10">
        <f t="shared" ca="1" si="12"/>
        <v>40002</v>
      </c>
    </row>
    <row r="2943" spans="1:6" x14ac:dyDescent="0.25">
      <c r="A2943" s="8">
        <v>43201538</v>
      </c>
      <c r="B2943" s="9" t="str">
        <f t="shared" ca="1" si="11"/>
        <v>Enfriadores de unidades de procesamiento central</v>
      </c>
      <c r="C2943" s="33" t="s">
        <v>55</v>
      </c>
      <c r="D2943" s="8">
        <v>3</v>
      </c>
      <c r="E2943" s="11">
        <v>7670</v>
      </c>
      <c r="F2943" s="10">
        <f t="shared" ca="1" si="12"/>
        <v>23010</v>
      </c>
    </row>
    <row r="2944" spans="1:6" x14ac:dyDescent="0.25">
      <c r="A2944" s="8">
        <v>43201552</v>
      </c>
      <c r="B2944" s="9" t="str">
        <f t="shared" ca="1" si="11"/>
        <v>Adaptadores para hardware o telefonía</v>
      </c>
      <c r="C2944" s="33" t="s">
        <v>55</v>
      </c>
      <c r="D2944" s="8">
        <v>10</v>
      </c>
      <c r="E2944" s="11">
        <v>2271.5</v>
      </c>
      <c r="F2944" s="10">
        <f t="shared" ca="1" si="12"/>
        <v>22715</v>
      </c>
    </row>
    <row r="2945" spans="1:6" x14ac:dyDescent="0.25">
      <c r="A2945" s="8">
        <v>43201802</v>
      </c>
      <c r="B2945" s="9" t="str">
        <f t="shared" ca="1" si="11"/>
        <v>Series de disco duro</v>
      </c>
      <c r="C2945" s="33" t="s">
        <v>55</v>
      </c>
      <c r="D2945" s="8">
        <v>4</v>
      </c>
      <c r="E2945" s="11">
        <v>18850.5</v>
      </c>
      <c r="F2945" s="10">
        <f t="shared" ca="1" si="12"/>
        <v>75402</v>
      </c>
    </row>
    <row r="2946" spans="1:6" x14ac:dyDescent="0.25">
      <c r="A2946" s="40"/>
      <c r="B2946" s="40"/>
      <c r="C2946" s="40"/>
      <c r="D2946" s="40"/>
      <c r="E2946" s="13" t="s">
        <v>87</v>
      </c>
      <c r="F2946" s="14">
        <f ca="1">SUM(Table392[MONTO TOTAL ESTIMADO])</f>
        <v>1255720.6000000001</v>
      </c>
    </row>
    <row r="2947" spans="1:6" ht="15.75" thickBot="1" x14ac:dyDescent="0.3">
      <c r="A2947" s="42"/>
      <c r="B2947" s="42"/>
      <c r="C2947" s="42"/>
      <c r="D2947" s="42"/>
      <c r="E2947" s="42"/>
      <c r="F2947" s="42"/>
    </row>
    <row r="2948" spans="1:6" ht="23.25" thickBot="1" x14ac:dyDescent="0.3">
      <c r="A2948" s="4" t="s">
        <v>19</v>
      </c>
      <c r="B2948" s="4" t="s">
        <v>20</v>
      </c>
      <c r="C2948" s="4" t="s">
        <v>21</v>
      </c>
      <c r="D2948" s="4" t="s">
        <v>22</v>
      </c>
      <c r="E2948" s="4" t="s">
        <v>23</v>
      </c>
      <c r="F2948" s="4" t="s">
        <v>24</v>
      </c>
    </row>
    <row r="2949" spans="1:6" ht="15.75" thickBot="1" x14ac:dyDescent="0.3">
      <c r="A2949" s="32" t="s">
        <v>368</v>
      </c>
      <c r="B2949" s="32" t="s">
        <v>369</v>
      </c>
      <c r="C2949" s="32" t="s">
        <v>27</v>
      </c>
      <c r="D2949" s="6" t="s">
        <v>28</v>
      </c>
      <c r="E2949" s="6" t="s">
        <v>262</v>
      </c>
      <c r="F2949" s="6"/>
    </row>
    <row r="2950" spans="1:6" ht="15.75" thickBot="1" x14ac:dyDescent="0.3">
      <c r="A2950" s="35" t="s">
        <v>31</v>
      </c>
      <c r="B2950" s="7" t="s">
        <v>32</v>
      </c>
      <c r="C2950" s="15">
        <v>45383</v>
      </c>
      <c r="D2950" s="35" t="s">
        <v>33</v>
      </c>
      <c r="E2950" s="7" t="s">
        <v>34</v>
      </c>
      <c r="F2950" s="6"/>
    </row>
    <row r="2951" spans="1:6" ht="15.75" thickBot="1" x14ac:dyDescent="0.3">
      <c r="A2951" s="36"/>
      <c r="B2951" s="7" t="s">
        <v>36</v>
      </c>
      <c r="C2951" s="5">
        <f>IF(C2950="","",IF(AND(MONTH(C2950)&gt;=1,MONTH(C2950)&lt;=3),1,IF(AND(MONTH(C2950)&gt;=4,MONTH(C2950)&lt;=6),2,IF(AND(MONTH(C2950)&gt;=7,MONTH(C2950)&lt;=9),3,4))))</f>
        <v>2</v>
      </c>
      <c r="D2951" s="36"/>
      <c r="E2951" s="7" t="s">
        <v>37</v>
      </c>
      <c r="F2951" s="6"/>
    </row>
    <row r="2952" spans="1:6" ht="15.75" thickBot="1" x14ac:dyDescent="0.3">
      <c r="A2952" s="36"/>
      <c r="B2952" s="7" t="s">
        <v>39</v>
      </c>
      <c r="C2952" s="15">
        <v>45473</v>
      </c>
      <c r="D2952" s="36"/>
      <c r="E2952" s="7" t="s">
        <v>40</v>
      </c>
      <c r="F2952" s="6"/>
    </row>
    <row r="2953" spans="1:6" ht="15.75" thickBot="1" x14ac:dyDescent="0.3">
      <c r="A2953" s="36"/>
      <c r="B2953" s="7" t="s">
        <v>36</v>
      </c>
      <c r="C2953" s="5">
        <f>IF(C2952="","",IF(AND(MONTH(C2952)&gt;=1,MONTH(C2952)&lt;=3),1,IF(AND(MONTH(C2952)&gt;=4,MONTH(C2952)&lt;=6),2,IF(AND(MONTH(C2952)&gt;=7,MONTH(C2952)&lt;=9),3,4))))</f>
        <v>2</v>
      </c>
      <c r="D2953" s="36"/>
      <c r="E2953" s="7" t="s">
        <v>41</v>
      </c>
      <c r="F2953" s="6"/>
    </row>
    <row r="2954" spans="1:6" ht="15.75" thickBot="1" x14ac:dyDescent="0.3">
      <c r="A2954" s="40"/>
      <c r="B2954" s="40"/>
      <c r="C2954" s="40"/>
      <c r="D2954" s="40"/>
      <c r="E2954" s="40"/>
      <c r="F2954" s="40"/>
    </row>
    <row r="2955" spans="1:6" ht="15.75" thickBot="1" x14ac:dyDescent="0.3">
      <c r="A2955" s="12" t="s">
        <v>42</v>
      </c>
      <c r="B2955" s="12" t="s">
        <v>43</v>
      </c>
      <c r="C2955" s="12" t="s">
        <v>44</v>
      </c>
      <c r="D2955" s="12" t="s">
        <v>45</v>
      </c>
      <c r="E2955" s="12" t="s">
        <v>46</v>
      </c>
      <c r="F2955" s="12" t="s">
        <v>47</v>
      </c>
    </row>
    <row r="2956" spans="1:6" x14ac:dyDescent="0.25">
      <c r="A2956" s="8">
        <v>44122003</v>
      </c>
      <c r="B2956" s="9" t="str">
        <f t="shared" ref="B2956:B2966" ca="1" si="13">IFERROR(INDEX(UNSPSCDes,MATCH(INDIRECT(ADDRESS(ROW(),COLUMN()-1,4)),UNSPSCCode,0)),"")</f>
        <v>Carpetas</v>
      </c>
      <c r="C2956" s="33" t="s">
        <v>55</v>
      </c>
      <c r="D2956" s="8">
        <v>200</v>
      </c>
      <c r="E2956" s="11">
        <v>185</v>
      </c>
      <c r="F2956" s="10">
        <f t="shared" ref="F2956:F2966" ca="1" si="14">INDIRECT(ADDRESS(ROW(),COLUMN()-2,4))*INDIRECT(ADDRESS(ROW(),COLUMN()-1,4))</f>
        <v>37000</v>
      </c>
    </row>
    <row r="2957" spans="1:6" x14ac:dyDescent="0.25">
      <c r="A2957" s="8">
        <v>44122003</v>
      </c>
      <c r="B2957" s="9" t="str">
        <f t="shared" ca="1" si="13"/>
        <v>Carpetas</v>
      </c>
      <c r="C2957" s="33" t="s">
        <v>55</v>
      </c>
      <c r="D2957" s="8">
        <v>200</v>
      </c>
      <c r="E2957" s="11">
        <v>275</v>
      </c>
      <c r="F2957" s="10">
        <f t="shared" ca="1" si="14"/>
        <v>55000</v>
      </c>
    </row>
    <row r="2958" spans="1:6" x14ac:dyDescent="0.25">
      <c r="A2958" s="8">
        <v>44122003</v>
      </c>
      <c r="B2958" s="9" t="str">
        <f t="shared" ca="1" si="13"/>
        <v>Carpetas</v>
      </c>
      <c r="C2958" s="33" t="s">
        <v>55</v>
      </c>
      <c r="D2958" s="8">
        <v>200</v>
      </c>
      <c r="E2958" s="11">
        <v>422</v>
      </c>
      <c r="F2958" s="10">
        <f t="shared" ca="1" si="14"/>
        <v>84400</v>
      </c>
    </row>
    <row r="2959" spans="1:6" x14ac:dyDescent="0.25">
      <c r="A2959" s="8">
        <v>44122002</v>
      </c>
      <c r="B2959" s="9" t="str">
        <f t="shared" ca="1" si="13"/>
        <v>Protectores de hojas</v>
      </c>
      <c r="C2959" s="8" t="s">
        <v>49</v>
      </c>
      <c r="D2959" s="8">
        <v>500</v>
      </c>
      <c r="E2959" s="11">
        <v>350</v>
      </c>
      <c r="F2959" s="10">
        <f t="shared" ca="1" si="14"/>
        <v>175000</v>
      </c>
    </row>
    <row r="2960" spans="1:6" x14ac:dyDescent="0.25">
      <c r="A2960" s="8">
        <v>44122022</v>
      </c>
      <c r="B2960" s="9" t="str">
        <f t="shared" ca="1" si="13"/>
        <v>Accesorios de carpetas de folders</v>
      </c>
      <c r="C2960" s="33" t="s">
        <v>55</v>
      </c>
      <c r="D2960" s="8">
        <v>500</v>
      </c>
      <c r="E2960" s="11">
        <v>15</v>
      </c>
      <c r="F2960" s="10">
        <f t="shared" ca="1" si="14"/>
        <v>7500</v>
      </c>
    </row>
    <row r="2961" spans="1:6" x14ac:dyDescent="0.25">
      <c r="A2961" s="8">
        <v>44122012</v>
      </c>
      <c r="B2961" s="9" t="str">
        <f t="shared" ca="1" si="13"/>
        <v>Portapapeles</v>
      </c>
      <c r="C2961" s="33" t="s">
        <v>55</v>
      </c>
      <c r="D2961" s="8">
        <v>200</v>
      </c>
      <c r="E2961" s="11">
        <v>250</v>
      </c>
      <c r="F2961" s="10">
        <f t="shared" ca="1" si="14"/>
        <v>50000</v>
      </c>
    </row>
    <row r="2962" spans="1:6" x14ac:dyDescent="0.25">
      <c r="A2962" s="8">
        <v>44122011</v>
      </c>
      <c r="B2962" s="9" t="str">
        <f t="shared" ca="1" si="13"/>
        <v>Folders</v>
      </c>
      <c r="C2962" s="33" t="s">
        <v>49</v>
      </c>
      <c r="D2962" s="8">
        <v>200</v>
      </c>
      <c r="E2962" s="11">
        <v>577.61</v>
      </c>
      <c r="F2962" s="10">
        <f t="shared" ca="1" si="14"/>
        <v>115522</v>
      </c>
    </row>
    <row r="2963" spans="1:6" x14ac:dyDescent="0.25">
      <c r="A2963" s="8">
        <v>44122011</v>
      </c>
      <c r="B2963" s="9" t="str">
        <f t="shared" ca="1" si="13"/>
        <v>Folders</v>
      </c>
      <c r="C2963" s="33" t="s">
        <v>49</v>
      </c>
      <c r="D2963" s="8">
        <v>450</v>
      </c>
      <c r="E2963" s="11">
        <v>250</v>
      </c>
      <c r="F2963" s="10">
        <f t="shared" ca="1" si="14"/>
        <v>112500</v>
      </c>
    </row>
    <row r="2964" spans="1:6" x14ac:dyDescent="0.25">
      <c r="A2964" s="8">
        <v>44122027</v>
      </c>
      <c r="B2964" s="9" t="str">
        <f t="shared" ca="1" si="13"/>
        <v>Folders de archivo expandibles</v>
      </c>
      <c r="C2964" s="33" t="s">
        <v>49</v>
      </c>
      <c r="D2964" s="8">
        <v>25</v>
      </c>
      <c r="E2964" s="11">
        <v>1155.8699999999999</v>
      </c>
      <c r="F2964" s="10">
        <f t="shared" ca="1" si="14"/>
        <v>28896.749999999996</v>
      </c>
    </row>
    <row r="2965" spans="1:6" x14ac:dyDescent="0.25">
      <c r="A2965" s="8">
        <v>44122013</v>
      </c>
      <c r="B2965" s="9" t="str">
        <f t="shared" ca="1" si="13"/>
        <v>Cubiertas para informes</v>
      </c>
      <c r="C2965" s="33" t="s">
        <v>49</v>
      </c>
      <c r="D2965" s="8">
        <v>50</v>
      </c>
      <c r="E2965" s="11">
        <v>650</v>
      </c>
      <c r="F2965" s="10">
        <f t="shared" ca="1" si="14"/>
        <v>32500</v>
      </c>
    </row>
    <row r="2966" spans="1:6" x14ac:dyDescent="0.25">
      <c r="A2966" s="8">
        <v>44122011</v>
      </c>
      <c r="B2966" s="9" t="str">
        <f t="shared" ca="1" si="13"/>
        <v>Folders</v>
      </c>
      <c r="C2966" s="33" t="s">
        <v>49</v>
      </c>
      <c r="D2966" s="8">
        <v>25</v>
      </c>
      <c r="E2966" s="11">
        <v>2000</v>
      </c>
      <c r="F2966" s="10">
        <f t="shared" ca="1" si="14"/>
        <v>50000</v>
      </c>
    </row>
    <row r="2967" spans="1:6" x14ac:dyDescent="0.25">
      <c r="A2967" s="40"/>
      <c r="B2967" s="40"/>
      <c r="C2967" s="40"/>
      <c r="D2967" s="40"/>
      <c r="E2967" s="13" t="s">
        <v>87</v>
      </c>
      <c r="F2967" s="14">
        <f ca="1">SUM(Table393[MONTO TOTAL ESTIMADO])</f>
        <v>748318.75</v>
      </c>
    </row>
    <row r="2968" spans="1:6" ht="15.75" thickBot="1" x14ac:dyDescent="0.3">
      <c r="A2968" s="42"/>
      <c r="B2968" s="42"/>
      <c r="C2968" s="42"/>
      <c r="D2968" s="42"/>
      <c r="E2968" s="42"/>
      <c r="F2968" s="42"/>
    </row>
    <row r="2969" spans="1:6" ht="23.25" thickBot="1" x14ac:dyDescent="0.3">
      <c r="A2969" s="4" t="s">
        <v>19</v>
      </c>
      <c r="B2969" s="4" t="s">
        <v>20</v>
      </c>
      <c r="C2969" s="4" t="s">
        <v>21</v>
      </c>
      <c r="D2969" s="4" t="s">
        <v>22</v>
      </c>
      <c r="E2969" s="4" t="s">
        <v>23</v>
      </c>
      <c r="F2969" s="4" t="s">
        <v>24</v>
      </c>
    </row>
    <row r="2970" spans="1:6" ht="15.75" thickBot="1" x14ac:dyDescent="0.3">
      <c r="A2970" s="32" t="s">
        <v>373</v>
      </c>
      <c r="B2970" s="32" t="s">
        <v>374</v>
      </c>
      <c r="C2970" s="32" t="s">
        <v>129</v>
      </c>
      <c r="D2970" s="6" t="s">
        <v>28</v>
      </c>
      <c r="E2970" s="6" t="s">
        <v>262</v>
      </c>
      <c r="F2970" s="6"/>
    </row>
    <row r="2971" spans="1:6" ht="15.75" thickBot="1" x14ac:dyDescent="0.3">
      <c r="A2971" s="35" t="s">
        <v>31</v>
      </c>
      <c r="B2971" s="7" t="s">
        <v>32</v>
      </c>
      <c r="C2971" s="15">
        <v>45383</v>
      </c>
      <c r="D2971" s="35" t="s">
        <v>33</v>
      </c>
      <c r="E2971" s="7" t="s">
        <v>34</v>
      </c>
      <c r="F2971" s="6"/>
    </row>
    <row r="2972" spans="1:6" ht="15.75" thickBot="1" x14ac:dyDescent="0.3">
      <c r="A2972" s="36"/>
      <c r="B2972" s="7" t="s">
        <v>36</v>
      </c>
      <c r="C2972" s="5">
        <f>IF(C2971="","",IF(AND(MONTH(C2971)&gt;=1,MONTH(C2971)&lt;=3),1,IF(AND(MONTH(C2971)&gt;=4,MONTH(C2971)&lt;=6),2,IF(AND(MONTH(C2971)&gt;=7,MONTH(C2971)&lt;=9),3,4))))</f>
        <v>2</v>
      </c>
      <c r="D2972" s="36"/>
      <c r="E2972" s="7" t="s">
        <v>37</v>
      </c>
      <c r="F2972" s="6"/>
    </row>
    <row r="2973" spans="1:6" ht="15.75" thickBot="1" x14ac:dyDescent="0.3">
      <c r="A2973" s="36"/>
      <c r="B2973" s="7" t="s">
        <v>39</v>
      </c>
      <c r="C2973" s="15">
        <v>45473</v>
      </c>
      <c r="D2973" s="36"/>
      <c r="E2973" s="7" t="s">
        <v>40</v>
      </c>
      <c r="F2973" s="6"/>
    </row>
    <row r="2974" spans="1:6" ht="15.75" thickBot="1" x14ac:dyDescent="0.3">
      <c r="A2974" s="36"/>
      <c r="B2974" s="7" t="s">
        <v>36</v>
      </c>
      <c r="C2974" s="5">
        <f>IF(C2973="","",IF(AND(MONTH(C2973)&gt;=1,MONTH(C2973)&lt;=3),1,IF(AND(MONTH(C2973)&gt;=4,MONTH(C2973)&lt;=6),2,IF(AND(MONTH(C2973)&gt;=7,MONTH(C2973)&lt;=9),3,4))))</f>
        <v>2</v>
      </c>
      <c r="D2974" s="36"/>
      <c r="E2974" s="7" t="s">
        <v>41</v>
      </c>
      <c r="F2974" s="6"/>
    </row>
    <row r="2975" spans="1:6" ht="15.75" thickBot="1" x14ac:dyDescent="0.3">
      <c r="A2975" s="40"/>
      <c r="B2975" s="40"/>
      <c r="C2975" s="40"/>
      <c r="D2975" s="40"/>
      <c r="E2975" s="40"/>
      <c r="F2975" s="40"/>
    </row>
    <row r="2976" spans="1:6" ht="15.75" thickBot="1" x14ac:dyDescent="0.3">
      <c r="A2976" s="12" t="s">
        <v>42</v>
      </c>
      <c r="B2976" s="12" t="s">
        <v>43</v>
      </c>
      <c r="C2976" s="12" t="s">
        <v>44</v>
      </c>
      <c r="D2976" s="12" t="s">
        <v>45</v>
      </c>
      <c r="E2976" s="12" t="s">
        <v>46</v>
      </c>
      <c r="F2976" s="12" t="s">
        <v>47</v>
      </c>
    </row>
    <row r="2977" spans="1:6" x14ac:dyDescent="0.25">
      <c r="A2977" s="8">
        <v>72101607</v>
      </c>
      <c r="B2977" s="9" t="str">
        <f ca="1">IFERROR(INDEX(UNSPSCDes,MATCH(INDIRECT(ADDRESS(ROW(),COLUMN()-1,4)),UNSPSCCode,0)),"")</f>
        <v>Instalación o reparación de paredes</v>
      </c>
      <c r="C2977" s="8" t="s">
        <v>55</v>
      </c>
      <c r="D2977" s="8">
        <v>1</v>
      </c>
      <c r="E2977" s="11">
        <v>850000</v>
      </c>
      <c r="F2977" s="10">
        <f ca="1">INDIRECT(ADDRESS(ROW(),COLUMN()-2,4))*INDIRECT(ADDRESS(ROW(),COLUMN()-1,4))</f>
        <v>850000</v>
      </c>
    </row>
    <row r="2978" spans="1:6" x14ac:dyDescent="0.25">
      <c r="A2978" s="8">
        <v>72102004</v>
      </c>
      <c r="B2978" s="9" t="str">
        <f ca="1">IFERROR(INDEX(UNSPSCDes,MATCH(INDIRECT(ADDRESS(ROW(),COLUMN()-1,4)),UNSPSCCode,0)),"")</f>
        <v>Impermeabilización</v>
      </c>
      <c r="C2978" s="8" t="s">
        <v>55</v>
      </c>
      <c r="D2978" s="8">
        <v>1</v>
      </c>
      <c r="E2978" s="11">
        <v>850000</v>
      </c>
      <c r="F2978" s="10">
        <f ca="1">INDIRECT(ADDRESS(ROW(),COLUMN()-2,4))*INDIRECT(ADDRESS(ROW(),COLUMN()-1,4))</f>
        <v>850000</v>
      </c>
    </row>
    <row r="2979" spans="1:6" x14ac:dyDescent="0.25">
      <c r="A2979" s="40"/>
      <c r="B2979" s="40"/>
      <c r="C2979" s="40"/>
      <c r="D2979" s="40"/>
      <c r="E2979" s="13" t="s">
        <v>87</v>
      </c>
      <c r="F2979" s="14">
        <f ca="1">SUM(Table394[MONTO TOTAL ESTIMADO])</f>
        <v>1700000</v>
      </c>
    </row>
    <row r="2980" spans="1:6" ht="15.75" thickBot="1" x14ac:dyDescent="0.3">
      <c r="A2980" s="42"/>
      <c r="B2980" s="42"/>
      <c r="C2980" s="42"/>
      <c r="D2980" s="42"/>
      <c r="E2980" s="42"/>
      <c r="F2980" s="42"/>
    </row>
    <row r="2981" spans="1:6" ht="23.25" thickBot="1" x14ac:dyDescent="0.3">
      <c r="A2981" s="4" t="s">
        <v>19</v>
      </c>
      <c r="B2981" s="4" t="s">
        <v>20</v>
      </c>
      <c r="C2981" s="4" t="s">
        <v>21</v>
      </c>
      <c r="D2981" s="4" t="s">
        <v>22</v>
      </c>
      <c r="E2981" s="4" t="s">
        <v>23</v>
      </c>
      <c r="F2981" s="4" t="s">
        <v>24</v>
      </c>
    </row>
    <row r="2982" spans="1:6" ht="15.75" thickBot="1" x14ac:dyDescent="0.3">
      <c r="A2982" s="32" t="s">
        <v>377</v>
      </c>
      <c r="B2982" s="32" t="s">
        <v>378</v>
      </c>
      <c r="C2982" s="32" t="s">
        <v>129</v>
      </c>
      <c r="D2982" s="6" t="s">
        <v>28</v>
      </c>
      <c r="E2982" s="6" t="s">
        <v>262</v>
      </c>
      <c r="F2982" s="6"/>
    </row>
    <row r="2983" spans="1:6" ht="15.75" thickBot="1" x14ac:dyDescent="0.3">
      <c r="A2983" s="35" t="s">
        <v>31</v>
      </c>
      <c r="B2983" s="7" t="s">
        <v>32</v>
      </c>
      <c r="C2983" s="15">
        <v>45383</v>
      </c>
      <c r="D2983" s="35" t="s">
        <v>33</v>
      </c>
      <c r="E2983" s="7" t="s">
        <v>34</v>
      </c>
      <c r="F2983" s="6"/>
    </row>
    <row r="2984" spans="1:6" ht="15.75" thickBot="1" x14ac:dyDescent="0.3">
      <c r="A2984" s="36"/>
      <c r="B2984" s="7" t="s">
        <v>36</v>
      </c>
      <c r="C2984" s="5">
        <f>IF(C2983="","",IF(AND(MONTH(C2983)&gt;=1,MONTH(C2983)&lt;=3),1,IF(AND(MONTH(C2983)&gt;=4,MONTH(C2983)&lt;=6),2,IF(AND(MONTH(C2983)&gt;=7,MONTH(C2983)&lt;=9),3,4))))</f>
        <v>2</v>
      </c>
      <c r="D2984" s="36"/>
      <c r="E2984" s="7" t="s">
        <v>37</v>
      </c>
      <c r="F2984" s="6"/>
    </row>
    <row r="2985" spans="1:6" ht="15.75" thickBot="1" x14ac:dyDescent="0.3">
      <c r="A2985" s="36"/>
      <c r="B2985" s="7" t="s">
        <v>39</v>
      </c>
      <c r="C2985" s="15">
        <v>45473</v>
      </c>
      <c r="D2985" s="36"/>
      <c r="E2985" s="7" t="s">
        <v>40</v>
      </c>
      <c r="F2985" s="6"/>
    </row>
    <row r="2986" spans="1:6" ht="15.75" thickBot="1" x14ac:dyDescent="0.3">
      <c r="A2986" s="36"/>
      <c r="B2986" s="7" t="s">
        <v>36</v>
      </c>
      <c r="C2986" s="5">
        <f>IF(C2985="","",IF(AND(MONTH(C2985)&gt;=1,MONTH(C2985)&lt;=3),1,IF(AND(MONTH(C2985)&gt;=4,MONTH(C2985)&lt;=6),2,IF(AND(MONTH(C2985)&gt;=7,MONTH(C2985)&lt;=9),3,4))))</f>
        <v>2</v>
      </c>
      <c r="D2986" s="36"/>
      <c r="E2986" s="7" t="s">
        <v>41</v>
      </c>
      <c r="F2986" s="6"/>
    </row>
    <row r="2987" spans="1:6" ht="15.75" thickBot="1" x14ac:dyDescent="0.3">
      <c r="A2987" s="40"/>
      <c r="B2987" s="40"/>
      <c r="C2987" s="40"/>
      <c r="D2987" s="40"/>
      <c r="E2987" s="40"/>
      <c r="F2987" s="40"/>
    </row>
    <row r="2988" spans="1:6" ht="15.75" thickBot="1" x14ac:dyDescent="0.3">
      <c r="A2988" s="12" t="s">
        <v>42</v>
      </c>
      <c r="B2988" s="12" t="s">
        <v>43</v>
      </c>
      <c r="C2988" s="12" t="s">
        <v>44</v>
      </c>
      <c r="D2988" s="12" t="s">
        <v>45</v>
      </c>
      <c r="E2988" s="12" t="s">
        <v>46</v>
      </c>
      <c r="F2988" s="12" t="s">
        <v>47</v>
      </c>
    </row>
    <row r="2989" spans="1:6" x14ac:dyDescent="0.25">
      <c r="A2989" s="8">
        <v>72101510</v>
      </c>
      <c r="B2989" s="9" t="str">
        <f ca="1">IFERROR(INDEX(UNSPSCDes,MATCH(INDIRECT(ADDRESS(ROW(),COLUMN()-1,4)),UNSPSCCode,0)),"")</f>
        <v>Mantenimiento o reparación del sistema de plomería</v>
      </c>
      <c r="C2989" s="8" t="s">
        <v>55</v>
      </c>
      <c r="D2989" s="8">
        <v>1</v>
      </c>
      <c r="E2989" s="11">
        <v>450000</v>
      </c>
      <c r="F2989" s="10">
        <f ca="1">INDIRECT(ADDRESS(ROW(),COLUMN()-2,4))*INDIRECT(ADDRESS(ROW(),COLUMN()-1,4))</f>
        <v>450000</v>
      </c>
    </row>
    <row r="2990" spans="1:6" x14ac:dyDescent="0.25">
      <c r="A2990" s="8">
        <v>72102201</v>
      </c>
      <c r="B2990" s="9" t="str">
        <f ca="1">IFERROR(INDEX(UNSPSCDes,MATCH(INDIRECT(ADDRESS(ROW(),COLUMN()-1,4)),UNSPSCCode,0)),"")</f>
        <v>Instalación o servicio de sistemas de energía eléctrica</v>
      </c>
      <c r="C2990" s="33" t="s">
        <v>55</v>
      </c>
      <c r="D2990" s="8">
        <v>1</v>
      </c>
      <c r="E2990" s="11">
        <v>550000</v>
      </c>
      <c r="F2990" s="10">
        <f ca="1">INDIRECT(ADDRESS(ROW(),COLUMN()-2,4))*INDIRECT(ADDRESS(ROW(),COLUMN()-1,4))</f>
        <v>550000</v>
      </c>
    </row>
    <row r="2991" spans="1:6" x14ac:dyDescent="0.25">
      <c r="A2991" s="40"/>
      <c r="B2991" s="40"/>
      <c r="C2991" s="40"/>
      <c r="D2991" s="40"/>
      <c r="E2991" s="13" t="s">
        <v>87</v>
      </c>
      <c r="F2991" s="14">
        <f ca="1">SUM(Table395[MONTO TOTAL ESTIMADO])</f>
        <v>1000000</v>
      </c>
    </row>
    <row r="2992" spans="1:6" ht="15.75" thickBot="1" x14ac:dyDescent="0.3">
      <c r="A2992" s="42"/>
      <c r="B2992" s="42"/>
      <c r="C2992" s="42"/>
      <c r="D2992" s="42"/>
      <c r="E2992" s="42"/>
      <c r="F2992" s="42"/>
    </row>
    <row r="2993" spans="1:6" ht="23.25" thickBot="1" x14ac:dyDescent="0.3">
      <c r="A2993" s="4" t="s">
        <v>19</v>
      </c>
      <c r="B2993" s="4" t="s">
        <v>20</v>
      </c>
      <c r="C2993" s="4" t="s">
        <v>21</v>
      </c>
      <c r="D2993" s="4" t="s">
        <v>22</v>
      </c>
      <c r="E2993" s="4" t="s">
        <v>23</v>
      </c>
      <c r="F2993" s="4" t="s">
        <v>24</v>
      </c>
    </row>
    <row r="2994" spans="1:6" ht="15.75" thickBot="1" x14ac:dyDescent="0.3">
      <c r="A2994" s="32" t="s">
        <v>381</v>
      </c>
      <c r="B2994" s="32" t="s">
        <v>382</v>
      </c>
      <c r="C2994" s="32" t="s">
        <v>27</v>
      </c>
      <c r="D2994" s="6" t="s">
        <v>28</v>
      </c>
      <c r="E2994" s="6" t="s">
        <v>262</v>
      </c>
      <c r="F2994" s="6"/>
    </row>
    <row r="2995" spans="1:6" ht="15.75" thickBot="1" x14ac:dyDescent="0.3">
      <c r="A2995" s="35" t="s">
        <v>31</v>
      </c>
      <c r="B2995" s="7" t="s">
        <v>32</v>
      </c>
      <c r="C2995" s="15">
        <v>45383</v>
      </c>
      <c r="D2995" s="35" t="s">
        <v>33</v>
      </c>
      <c r="E2995" s="7" t="s">
        <v>34</v>
      </c>
      <c r="F2995" s="6"/>
    </row>
    <row r="2996" spans="1:6" ht="15.75" thickBot="1" x14ac:dyDescent="0.3">
      <c r="A2996" s="36"/>
      <c r="B2996" s="7" t="s">
        <v>36</v>
      </c>
      <c r="C2996" s="5">
        <f>IF(C2995="","",IF(AND(MONTH(C2995)&gt;=1,MONTH(C2995)&lt;=3),1,IF(AND(MONTH(C2995)&gt;=4,MONTH(C2995)&lt;=6),2,IF(AND(MONTH(C2995)&gt;=7,MONTH(C2995)&lt;=9),3,4))))</f>
        <v>2</v>
      </c>
      <c r="D2996" s="36"/>
      <c r="E2996" s="7" t="s">
        <v>37</v>
      </c>
      <c r="F2996" s="6"/>
    </row>
    <row r="2997" spans="1:6" ht="15.75" thickBot="1" x14ac:dyDescent="0.3">
      <c r="A2997" s="36"/>
      <c r="B2997" s="7" t="s">
        <v>39</v>
      </c>
      <c r="C2997" s="15">
        <v>45473</v>
      </c>
      <c r="D2997" s="36"/>
      <c r="E2997" s="7" t="s">
        <v>40</v>
      </c>
      <c r="F2997" s="6"/>
    </row>
    <row r="2998" spans="1:6" ht="15.75" thickBot="1" x14ac:dyDescent="0.3">
      <c r="A2998" s="36"/>
      <c r="B2998" s="7" t="s">
        <v>36</v>
      </c>
      <c r="C2998" s="5">
        <f>IF(C2997="","",IF(AND(MONTH(C2997)&gt;=1,MONTH(C2997)&lt;=3),1,IF(AND(MONTH(C2997)&gt;=4,MONTH(C2997)&lt;=6),2,IF(AND(MONTH(C2997)&gt;=7,MONTH(C2997)&lt;=9),3,4))))</f>
        <v>2</v>
      </c>
      <c r="D2998" s="36"/>
      <c r="E2998" s="7" t="s">
        <v>41</v>
      </c>
      <c r="F2998" s="6"/>
    </row>
    <row r="2999" spans="1:6" ht="15.75" thickBot="1" x14ac:dyDescent="0.3">
      <c r="A2999" s="40"/>
      <c r="B2999" s="40"/>
      <c r="C2999" s="40"/>
      <c r="D2999" s="40"/>
      <c r="E2999" s="40"/>
      <c r="F2999" s="40"/>
    </row>
    <row r="3000" spans="1:6" ht="15.75" thickBot="1" x14ac:dyDescent="0.3">
      <c r="A3000" s="12" t="s">
        <v>42</v>
      </c>
      <c r="B3000" s="12" t="s">
        <v>43</v>
      </c>
      <c r="C3000" s="12" t="s">
        <v>44</v>
      </c>
      <c r="D3000" s="12" t="s">
        <v>45</v>
      </c>
      <c r="E3000" s="12" t="s">
        <v>46</v>
      </c>
      <c r="F3000" s="12" t="s">
        <v>47</v>
      </c>
    </row>
    <row r="3001" spans="1:6" x14ac:dyDescent="0.25">
      <c r="A3001" s="8">
        <v>53102516</v>
      </c>
      <c r="B3001" s="9" t="str">
        <f ca="1">IFERROR(INDEX(UNSPSCDes,MATCH(INDIRECT(ADDRESS(ROW(),COLUMN()-1,4)),UNSPSCCode,0)),"")</f>
        <v>Gorras</v>
      </c>
      <c r="C3001" s="8" t="s">
        <v>55</v>
      </c>
      <c r="D3001" s="8">
        <v>5000</v>
      </c>
      <c r="E3001" s="11">
        <v>340</v>
      </c>
      <c r="F3001" s="10">
        <f ca="1">INDIRECT(ADDRESS(ROW(),COLUMN()-2,4))*INDIRECT(ADDRESS(ROW(),COLUMN()-1,4))</f>
        <v>1700000</v>
      </c>
    </row>
    <row r="3002" spans="1:6" x14ac:dyDescent="0.25">
      <c r="A3002" s="40"/>
      <c r="B3002" s="40"/>
      <c r="C3002" s="40"/>
      <c r="D3002" s="40"/>
      <c r="E3002" s="13" t="s">
        <v>87</v>
      </c>
      <c r="F3002" s="14">
        <f ca="1">SUM(Table396[MONTO TOTAL ESTIMADO])</f>
        <v>1700000</v>
      </c>
    </row>
    <row r="3003" spans="1:6" ht="15.75" thickBot="1" x14ac:dyDescent="0.3">
      <c r="A3003" s="42"/>
      <c r="B3003" s="42"/>
      <c r="C3003" s="42"/>
      <c r="D3003" s="42"/>
      <c r="E3003" s="42"/>
      <c r="F3003" s="42"/>
    </row>
    <row r="3004" spans="1:6" ht="23.25" thickBot="1" x14ac:dyDescent="0.3">
      <c r="A3004" s="4" t="s">
        <v>19</v>
      </c>
      <c r="B3004" s="4" t="s">
        <v>20</v>
      </c>
      <c r="C3004" s="4" t="s">
        <v>21</v>
      </c>
      <c r="D3004" s="4" t="s">
        <v>22</v>
      </c>
      <c r="E3004" s="4" t="s">
        <v>23</v>
      </c>
      <c r="F3004" s="4" t="s">
        <v>24</v>
      </c>
    </row>
    <row r="3005" spans="1:6" ht="15.75" thickBot="1" x14ac:dyDescent="0.3">
      <c r="A3005" s="32" t="s">
        <v>383</v>
      </c>
      <c r="B3005" s="32" t="s">
        <v>384</v>
      </c>
      <c r="C3005" s="32" t="s">
        <v>27</v>
      </c>
      <c r="D3005" s="6" t="s">
        <v>28</v>
      </c>
      <c r="E3005" s="6" t="s">
        <v>262</v>
      </c>
      <c r="F3005" s="6"/>
    </row>
    <row r="3006" spans="1:6" ht="15.75" thickBot="1" x14ac:dyDescent="0.3">
      <c r="A3006" s="35" t="s">
        <v>31</v>
      </c>
      <c r="B3006" s="7" t="s">
        <v>32</v>
      </c>
      <c r="C3006" s="15">
        <v>45383</v>
      </c>
      <c r="D3006" s="35" t="s">
        <v>33</v>
      </c>
      <c r="E3006" s="7" t="s">
        <v>34</v>
      </c>
      <c r="F3006" s="6"/>
    </row>
    <row r="3007" spans="1:6" ht="15.75" thickBot="1" x14ac:dyDescent="0.3">
      <c r="A3007" s="36"/>
      <c r="B3007" s="7" t="s">
        <v>36</v>
      </c>
      <c r="C3007" s="5">
        <f>IF(C3006="","",IF(AND(MONTH(C3006)&gt;=1,MONTH(C3006)&lt;=3),1,IF(AND(MONTH(C3006)&gt;=4,MONTH(C3006)&lt;=6),2,IF(AND(MONTH(C3006)&gt;=7,MONTH(C3006)&lt;=9),3,4))))</f>
        <v>2</v>
      </c>
      <c r="D3007" s="36"/>
      <c r="E3007" s="7" t="s">
        <v>37</v>
      </c>
      <c r="F3007" s="6"/>
    </row>
    <row r="3008" spans="1:6" ht="15.75" thickBot="1" x14ac:dyDescent="0.3">
      <c r="A3008" s="36"/>
      <c r="B3008" s="7" t="s">
        <v>39</v>
      </c>
      <c r="C3008" s="15">
        <v>45473</v>
      </c>
      <c r="D3008" s="36"/>
      <c r="E3008" s="7" t="s">
        <v>40</v>
      </c>
      <c r="F3008" s="6"/>
    </row>
    <row r="3009" spans="1:6" ht="15.75" thickBot="1" x14ac:dyDescent="0.3">
      <c r="A3009" s="36"/>
      <c r="B3009" s="7" t="s">
        <v>36</v>
      </c>
      <c r="C3009" s="5">
        <f>IF(C3008="","",IF(AND(MONTH(C3008)&gt;=1,MONTH(C3008)&lt;=3),1,IF(AND(MONTH(C3008)&gt;=4,MONTH(C3008)&lt;=6),2,IF(AND(MONTH(C3008)&gt;=7,MONTH(C3008)&lt;=9),3,4))))</f>
        <v>2</v>
      </c>
      <c r="D3009" s="36"/>
      <c r="E3009" s="7" t="s">
        <v>41</v>
      </c>
      <c r="F3009" s="6"/>
    </row>
    <row r="3010" spans="1:6" ht="15.75" thickBot="1" x14ac:dyDescent="0.3">
      <c r="A3010" s="40"/>
      <c r="B3010" s="40"/>
      <c r="C3010" s="40"/>
      <c r="D3010" s="40"/>
      <c r="E3010" s="40"/>
      <c r="F3010" s="40"/>
    </row>
    <row r="3011" spans="1:6" ht="15.75" thickBot="1" x14ac:dyDescent="0.3">
      <c r="A3011" s="12" t="s">
        <v>42</v>
      </c>
      <c r="B3011" s="12" t="s">
        <v>43</v>
      </c>
      <c r="C3011" s="12" t="s">
        <v>44</v>
      </c>
      <c r="D3011" s="12" t="s">
        <v>45</v>
      </c>
      <c r="E3011" s="12" t="s">
        <v>46</v>
      </c>
      <c r="F3011" s="12" t="s">
        <v>47</v>
      </c>
    </row>
    <row r="3012" spans="1:6" x14ac:dyDescent="0.25">
      <c r="A3012" s="8">
        <v>53103001</v>
      </c>
      <c r="B3012" s="9" t="str">
        <f ca="1">IFERROR(INDEX(UNSPSCDes,MATCH(INDIRECT(ADDRESS(ROW(),COLUMN()-1,4)),UNSPSCCode,0)),"")</f>
        <v>Camisetas (t-shirts)</v>
      </c>
      <c r="C3012" s="33" t="s">
        <v>55</v>
      </c>
      <c r="D3012" s="8">
        <v>5000</v>
      </c>
      <c r="E3012" s="11">
        <v>340</v>
      </c>
      <c r="F3012" s="10">
        <f ca="1">INDIRECT(ADDRESS(ROW(),COLUMN()-2,4))*INDIRECT(ADDRESS(ROW(),COLUMN()-1,4))</f>
        <v>1700000</v>
      </c>
    </row>
    <row r="3013" spans="1:6" x14ac:dyDescent="0.25">
      <c r="A3013" s="40"/>
      <c r="B3013" s="40"/>
      <c r="C3013" s="40"/>
      <c r="D3013" s="40"/>
      <c r="E3013" s="13" t="s">
        <v>87</v>
      </c>
      <c r="F3013" s="14">
        <f ca="1">SUM(Table397[MONTO TOTAL ESTIMADO])</f>
        <v>1700000</v>
      </c>
    </row>
    <row r="3014" spans="1:6" ht="15.75" thickBot="1" x14ac:dyDescent="0.3">
      <c r="A3014" s="42"/>
      <c r="B3014" s="42"/>
      <c r="C3014" s="42"/>
      <c r="D3014" s="42"/>
      <c r="E3014" s="42"/>
      <c r="F3014" s="42"/>
    </row>
    <row r="3015" spans="1:6" ht="23.25" thickBot="1" x14ac:dyDescent="0.3">
      <c r="A3015" s="4" t="s">
        <v>19</v>
      </c>
      <c r="B3015" s="4" t="s">
        <v>20</v>
      </c>
      <c r="C3015" s="4" t="s">
        <v>21</v>
      </c>
      <c r="D3015" s="4" t="s">
        <v>22</v>
      </c>
      <c r="E3015" s="4" t="s">
        <v>23</v>
      </c>
      <c r="F3015" s="4" t="s">
        <v>24</v>
      </c>
    </row>
    <row r="3016" spans="1:6" ht="15.75" thickBot="1" x14ac:dyDescent="0.3">
      <c r="A3016" s="32" t="s">
        <v>385</v>
      </c>
      <c r="B3016" s="32" t="s">
        <v>386</v>
      </c>
      <c r="C3016" s="32" t="s">
        <v>27</v>
      </c>
      <c r="D3016" s="6" t="s">
        <v>28</v>
      </c>
      <c r="E3016" s="6" t="s">
        <v>262</v>
      </c>
      <c r="F3016" s="6"/>
    </row>
    <row r="3017" spans="1:6" ht="15.75" thickBot="1" x14ac:dyDescent="0.3">
      <c r="A3017" s="35" t="s">
        <v>31</v>
      </c>
      <c r="B3017" s="7" t="s">
        <v>32</v>
      </c>
      <c r="C3017" s="15">
        <v>45383</v>
      </c>
      <c r="D3017" s="35" t="s">
        <v>33</v>
      </c>
      <c r="E3017" s="7" t="s">
        <v>34</v>
      </c>
      <c r="F3017" s="6"/>
    </row>
    <row r="3018" spans="1:6" ht="15.75" thickBot="1" x14ac:dyDescent="0.3">
      <c r="A3018" s="36"/>
      <c r="B3018" s="7" t="s">
        <v>36</v>
      </c>
      <c r="C3018" s="5">
        <f>IF(C3017="","",IF(AND(MONTH(C3017)&gt;=1,MONTH(C3017)&lt;=3),1,IF(AND(MONTH(C3017)&gt;=4,MONTH(C3017)&lt;=6),2,IF(AND(MONTH(C3017)&gt;=7,MONTH(C3017)&lt;=9),3,4))))</f>
        <v>2</v>
      </c>
      <c r="D3018" s="36"/>
      <c r="E3018" s="7" t="s">
        <v>37</v>
      </c>
      <c r="F3018" s="6"/>
    </row>
    <row r="3019" spans="1:6" ht="15.75" thickBot="1" x14ac:dyDescent="0.3">
      <c r="A3019" s="36"/>
      <c r="B3019" s="7" t="s">
        <v>39</v>
      </c>
      <c r="C3019" s="15">
        <v>45473</v>
      </c>
      <c r="D3019" s="36"/>
      <c r="E3019" s="7" t="s">
        <v>40</v>
      </c>
      <c r="F3019" s="6"/>
    </row>
    <row r="3020" spans="1:6" ht="15.75" thickBot="1" x14ac:dyDescent="0.3">
      <c r="A3020" s="36"/>
      <c r="B3020" s="7" t="s">
        <v>36</v>
      </c>
      <c r="C3020" s="5">
        <f>IF(C3019="","",IF(AND(MONTH(C3019)&gt;=1,MONTH(C3019)&lt;=3),1,IF(AND(MONTH(C3019)&gt;=4,MONTH(C3019)&lt;=6),2,IF(AND(MONTH(C3019)&gt;=7,MONTH(C3019)&lt;=9),3,4))))</f>
        <v>2</v>
      </c>
      <c r="D3020" s="36"/>
      <c r="E3020" s="7" t="s">
        <v>41</v>
      </c>
      <c r="F3020" s="6"/>
    </row>
    <row r="3021" spans="1:6" ht="15.75" thickBot="1" x14ac:dyDescent="0.3">
      <c r="A3021" s="40"/>
      <c r="B3021" s="40"/>
      <c r="C3021" s="40"/>
      <c r="D3021" s="40"/>
      <c r="E3021" s="40"/>
      <c r="F3021" s="40"/>
    </row>
    <row r="3022" spans="1:6" ht="15.75" thickBot="1" x14ac:dyDescent="0.3">
      <c r="A3022" s="12" t="s">
        <v>42</v>
      </c>
      <c r="B3022" s="12" t="s">
        <v>43</v>
      </c>
      <c r="C3022" s="12" t="s">
        <v>44</v>
      </c>
      <c r="D3022" s="12" t="s">
        <v>45</v>
      </c>
      <c r="E3022" s="12" t="s">
        <v>46</v>
      </c>
      <c r="F3022" s="12" t="s">
        <v>47</v>
      </c>
    </row>
    <row r="3023" spans="1:6" x14ac:dyDescent="0.25">
      <c r="A3023" s="8">
        <v>53102516</v>
      </c>
      <c r="B3023" s="9" t="str">
        <f ca="1">IFERROR(INDEX(UNSPSCDes,MATCH(INDIRECT(ADDRESS(ROW(),COLUMN()-1,4)),UNSPSCCode,0)),"")</f>
        <v>Gorras</v>
      </c>
      <c r="C3023" s="8" t="s">
        <v>55</v>
      </c>
      <c r="D3023" s="8">
        <v>5000</v>
      </c>
      <c r="E3023" s="11">
        <v>340</v>
      </c>
      <c r="F3023" s="10">
        <f ca="1">INDIRECT(ADDRESS(ROW(),COLUMN()-2,4))*INDIRECT(ADDRESS(ROW(),COLUMN()-1,4))</f>
        <v>1700000</v>
      </c>
    </row>
    <row r="3024" spans="1:6" x14ac:dyDescent="0.25">
      <c r="A3024" s="40"/>
      <c r="B3024" s="40"/>
      <c r="C3024" s="40"/>
      <c r="D3024" s="40"/>
      <c r="E3024" s="13" t="s">
        <v>87</v>
      </c>
      <c r="F3024" s="14">
        <f ca="1">SUM(Table398[MONTO TOTAL ESTIMADO])</f>
        <v>1700000</v>
      </c>
    </row>
    <row r="3025" spans="1:6" ht="15.75" thickBot="1" x14ac:dyDescent="0.3">
      <c r="A3025" s="42"/>
      <c r="B3025" s="42"/>
      <c r="C3025" s="42"/>
      <c r="D3025" s="42"/>
      <c r="E3025" s="42"/>
      <c r="F3025" s="42"/>
    </row>
    <row r="3026" spans="1:6" ht="23.25" thickBot="1" x14ac:dyDescent="0.3">
      <c r="A3026" s="4" t="s">
        <v>19</v>
      </c>
      <c r="B3026" s="4" t="s">
        <v>20</v>
      </c>
      <c r="C3026" s="4" t="s">
        <v>21</v>
      </c>
      <c r="D3026" s="4" t="s">
        <v>22</v>
      </c>
      <c r="E3026" s="4" t="s">
        <v>23</v>
      </c>
      <c r="F3026" s="4" t="s">
        <v>24</v>
      </c>
    </row>
    <row r="3027" spans="1:6" ht="15.75" thickBot="1" x14ac:dyDescent="0.3">
      <c r="A3027" s="32" t="s">
        <v>387</v>
      </c>
      <c r="B3027" s="32" t="s">
        <v>388</v>
      </c>
      <c r="C3027" s="32" t="s">
        <v>27</v>
      </c>
      <c r="D3027" s="6" t="s">
        <v>28</v>
      </c>
      <c r="E3027" s="6" t="s">
        <v>262</v>
      </c>
      <c r="F3027" s="6"/>
    </row>
    <row r="3028" spans="1:6" ht="15.75" thickBot="1" x14ac:dyDescent="0.3">
      <c r="A3028" s="35" t="s">
        <v>31</v>
      </c>
      <c r="B3028" s="7" t="s">
        <v>32</v>
      </c>
      <c r="C3028" s="15">
        <v>45383</v>
      </c>
      <c r="D3028" s="35" t="s">
        <v>33</v>
      </c>
      <c r="E3028" s="7" t="s">
        <v>34</v>
      </c>
      <c r="F3028" s="6"/>
    </row>
    <row r="3029" spans="1:6" ht="15.75" thickBot="1" x14ac:dyDescent="0.3">
      <c r="A3029" s="36"/>
      <c r="B3029" s="7" t="s">
        <v>36</v>
      </c>
      <c r="C3029" s="5">
        <f>IF(C3028="","",IF(AND(MONTH(C3028)&gt;=1,MONTH(C3028)&lt;=3),1,IF(AND(MONTH(C3028)&gt;=4,MONTH(C3028)&lt;=6),2,IF(AND(MONTH(C3028)&gt;=7,MONTH(C3028)&lt;=9),3,4))))</f>
        <v>2</v>
      </c>
      <c r="D3029" s="36"/>
      <c r="E3029" s="7" t="s">
        <v>37</v>
      </c>
      <c r="F3029" s="6"/>
    </row>
    <row r="3030" spans="1:6" ht="15.75" thickBot="1" x14ac:dyDescent="0.3">
      <c r="A3030" s="36"/>
      <c r="B3030" s="7" t="s">
        <v>39</v>
      </c>
      <c r="C3030" s="15">
        <v>45473</v>
      </c>
      <c r="D3030" s="36"/>
      <c r="E3030" s="7" t="s">
        <v>40</v>
      </c>
      <c r="F3030" s="6"/>
    </row>
    <row r="3031" spans="1:6" ht="15.75" thickBot="1" x14ac:dyDescent="0.3">
      <c r="A3031" s="36"/>
      <c r="B3031" s="7" t="s">
        <v>36</v>
      </c>
      <c r="C3031" s="5">
        <f>IF(C3030="","",IF(AND(MONTH(C3030)&gt;=1,MONTH(C3030)&lt;=3),1,IF(AND(MONTH(C3030)&gt;=4,MONTH(C3030)&lt;=6),2,IF(AND(MONTH(C3030)&gt;=7,MONTH(C3030)&lt;=9),3,4))))</f>
        <v>2</v>
      </c>
      <c r="D3031" s="36"/>
      <c r="E3031" s="7" t="s">
        <v>41</v>
      </c>
      <c r="F3031" s="6"/>
    </row>
    <row r="3032" spans="1:6" ht="15.75" thickBot="1" x14ac:dyDescent="0.3">
      <c r="A3032" s="40"/>
      <c r="B3032" s="40"/>
      <c r="C3032" s="40"/>
      <c r="D3032" s="40"/>
      <c r="E3032" s="40"/>
      <c r="F3032" s="40"/>
    </row>
    <row r="3033" spans="1:6" ht="15.75" thickBot="1" x14ac:dyDescent="0.3">
      <c r="A3033" s="12" t="s">
        <v>42</v>
      </c>
      <c r="B3033" s="12" t="s">
        <v>43</v>
      </c>
      <c r="C3033" s="12" t="s">
        <v>44</v>
      </c>
      <c r="D3033" s="12" t="s">
        <v>45</v>
      </c>
      <c r="E3033" s="12" t="s">
        <v>46</v>
      </c>
      <c r="F3033" s="12" t="s">
        <v>47</v>
      </c>
    </row>
    <row r="3034" spans="1:6" x14ac:dyDescent="0.25">
      <c r="A3034" s="8">
        <v>53103001</v>
      </c>
      <c r="B3034" s="9" t="str">
        <f ca="1">IFERROR(INDEX(UNSPSCDes,MATCH(INDIRECT(ADDRESS(ROW(),COLUMN()-1,4)),UNSPSCCode,0)),"")</f>
        <v>Camisetas (t-shirts)</v>
      </c>
      <c r="C3034" s="33" t="s">
        <v>55</v>
      </c>
      <c r="D3034" s="8">
        <v>5000</v>
      </c>
      <c r="E3034" s="11">
        <v>340</v>
      </c>
      <c r="F3034" s="10">
        <f ca="1">INDIRECT(ADDRESS(ROW(),COLUMN()-2,4))*INDIRECT(ADDRESS(ROW(),COLUMN()-1,4))</f>
        <v>1700000</v>
      </c>
    </row>
    <row r="3035" spans="1:6" x14ac:dyDescent="0.25">
      <c r="A3035" s="40"/>
      <c r="B3035" s="40"/>
      <c r="C3035" s="40"/>
      <c r="D3035" s="40"/>
      <c r="E3035" s="13" t="s">
        <v>87</v>
      </c>
      <c r="F3035" s="14">
        <f ca="1">SUM(Table399[MONTO TOTAL ESTIMADO])</f>
        <v>1700000</v>
      </c>
    </row>
    <row r="3036" spans="1:6" ht="15.75" thickBot="1" x14ac:dyDescent="0.3">
      <c r="A3036" s="42"/>
      <c r="B3036" s="42"/>
      <c r="C3036" s="42"/>
      <c r="D3036" s="42"/>
      <c r="E3036" s="42"/>
      <c r="F3036" s="42"/>
    </row>
    <row r="3037" spans="1:6" ht="23.25" thickBot="1" x14ac:dyDescent="0.3">
      <c r="A3037" s="4" t="s">
        <v>19</v>
      </c>
      <c r="B3037" s="4" t="s">
        <v>20</v>
      </c>
      <c r="C3037" s="4" t="s">
        <v>21</v>
      </c>
      <c r="D3037" s="4" t="s">
        <v>22</v>
      </c>
      <c r="E3037" s="4" t="s">
        <v>23</v>
      </c>
      <c r="F3037" s="4" t="s">
        <v>24</v>
      </c>
    </row>
    <row r="3038" spans="1:6" ht="15.75" thickBot="1" x14ac:dyDescent="0.3">
      <c r="A3038" s="32" t="s">
        <v>389</v>
      </c>
      <c r="B3038" s="32" t="s">
        <v>390</v>
      </c>
      <c r="C3038" s="32" t="s">
        <v>27</v>
      </c>
      <c r="D3038" s="6" t="s">
        <v>28</v>
      </c>
      <c r="E3038" s="6" t="s">
        <v>262</v>
      </c>
      <c r="F3038" s="6"/>
    </row>
    <row r="3039" spans="1:6" ht="15.75" thickBot="1" x14ac:dyDescent="0.3">
      <c r="A3039" s="35" t="s">
        <v>31</v>
      </c>
      <c r="B3039" s="7" t="s">
        <v>32</v>
      </c>
      <c r="C3039" s="15">
        <v>45383</v>
      </c>
      <c r="D3039" s="35" t="s">
        <v>33</v>
      </c>
      <c r="E3039" s="7" t="s">
        <v>34</v>
      </c>
      <c r="F3039" s="6"/>
    </row>
    <row r="3040" spans="1:6" ht="15.75" thickBot="1" x14ac:dyDescent="0.3">
      <c r="A3040" s="36"/>
      <c r="B3040" s="7" t="s">
        <v>36</v>
      </c>
      <c r="C3040" s="5">
        <f>IF(C3039="","",IF(AND(MONTH(C3039)&gt;=1,MONTH(C3039)&lt;=3),1,IF(AND(MONTH(C3039)&gt;=4,MONTH(C3039)&lt;=6),2,IF(AND(MONTH(C3039)&gt;=7,MONTH(C3039)&lt;=9),3,4))))</f>
        <v>2</v>
      </c>
      <c r="D3040" s="36"/>
      <c r="E3040" s="7" t="s">
        <v>37</v>
      </c>
      <c r="F3040" s="6"/>
    </row>
    <row r="3041" spans="1:6" ht="15.75" thickBot="1" x14ac:dyDescent="0.3">
      <c r="A3041" s="36"/>
      <c r="B3041" s="7" t="s">
        <v>39</v>
      </c>
      <c r="C3041" s="15">
        <v>45473</v>
      </c>
      <c r="D3041" s="36"/>
      <c r="E3041" s="7" t="s">
        <v>40</v>
      </c>
      <c r="F3041" s="6"/>
    </row>
    <row r="3042" spans="1:6" ht="15.75" thickBot="1" x14ac:dyDescent="0.3">
      <c r="A3042" s="36"/>
      <c r="B3042" s="7" t="s">
        <v>36</v>
      </c>
      <c r="C3042" s="5">
        <f>IF(C3041="","",IF(AND(MONTH(C3041)&gt;=1,MONTH(C3041)&lt;=3),1,IF(AND(MONTH(C3041)&gt;=4,MONTH(C3041)&lt;=6),2,IF(AND(MONTH(C3041)&gt;=7,MONTH(C3041)&lt;=9),3,4))))</f>
        <v>2</v>
      </c>
      <c r="D3042" s="36"/>
      <c r="E3042" s="7" t="s">
        <v>41</v>
      </c>
      <c r="F3042" s="6"/>
    </row>
    <row r="3043" spans="1:6" ht="15.75" thickBot="1" x14ac:dyDescent="0.3">
      <c r="A3043" s="40"/>
      <c r="B3043" s="40"/>
      <c r="C3043" s="40"/>
      <c r="D3043" s="40"/>
      <c r="E3043" s="40"/>
      <c r="F3043" s="40"/>
    </row>
    <row r="3044" spans="1:6" ht="15.75" thickBot="1" x14ac:dyDescent="0.3">
      <c r="A3044" s="12" t="s">
        <v>42</v>
      </c>
      <c r="B3044" s="12" t="s">
        <v>43</v>
      </c>
      <c r="C3044" s="12" t="s">
        <v>44</v>
      </c>
      <c r="D3044" s="12" t="s">
        <v>45</v>
      </c>
      <c r="E3044" s="12" t="s">
        <v>46</v>
      </c>
      <c r="F3044" s="12" t="s">
        <v>47</v>
      </c>
    </row>
    <row r="3045" spans="1:6" x14ac:dyDescent="0.25">
      <c r="A3045" s="8">
        <v>53121608</v>
      </c>
      <c r="B3045" s="9" t="str">
        <f ca="1">IFERROR(INDEX(UNSPSCDes,MATCH(INDIRECT(ADDRESS(ROW(),COLUMN()-1,4)),UNSPSCCode,0)),"")</f>
        <v>Bolsas para compras</v>
      </c>
      <c r="C3045" s="33" t="s">
        <v>55</v>
      </c>
      <c r="D3045" s="8">
        <v>5000</v>
      </c>
      <c r="E3045" s="11">
        <v>340</v>
      </c>
      <c r="F3045" s="10">
        <f ca="1">INDIRECT(ADDRESS(ROW(),COLUMN()-2,4))*INDIRECT(ADDRESS(ROW(),COLUMN()-1,4))</f>
        <v>1700000</v>
      </c>
    </row>
    <row r="3046" spans="1:6" x14ac:dyDescent="0.25">
      <c r="A3046" s="40"/>
      <c r="B3046" s="40"/>
      <c r="C3046" s="40"/>
      <c r="D3046" s="40"/>
      <c r="E3046" s="13" t="s">
        <v>87</v>
      </c>
      <c r="F3046" s="14">
        <f ca="1">SUM(Table3100[MONTO TOTAL ESTIMADO])</f>
        <v>1700000</v>
      </c>
    </row>
    <row r="3047" spans="1:6" ht="15.75" thickBot="1" x14ac:dyDescent="0.3">
      <c r="A3047" s="42"/>
      <c r="B3047" s="42"/>
      <c r="C3047" s="42"/>
      <c r="D3047" s="42"/>
      <c r="E3047" s="42"/>
      <c r="F3047" s="42"/>
    </row>
    <row r="3048" spans="1:6" ht="23.25" thickBot="1" x14ac:dyDescent="0.3">
      <c r="A3048" s="4" t="s">
        <v>19</v>
      </c>
      <c r="B3048" s="4" t="s">
        <v>20</v>
      </c>
      <c r="C3048" s="4" t="s">
        <v>21</v>
      </c>
      <c r="D3048" s="4" t="s">
        <v>22</v>
      </c>
      <c r="E3048" s="4" t="s">
        <v>23</v>
      </c>
      <c r="F3048" s="4" t="s">
        <v>24</v>
      </c>
    </row>
    <row r="3049" spans="1:6" ht="15.75" thickBot="1" x14ac:dyDescent="0.3">
      <c r="A3049" s="32" t="s">
        <v>256</v>
      </c>
      <c r="B3049" s="32" t="s">
        <v>392</v>
      </c>
      <c r="C3049" s="32" t="s">
        <v>129</v>
      </c>
      <c r="D3049" s="6" t="s">
        <v>130</v>
      </c>
      <c r="E3049" s="32" t="s">
        <v>29</v>
      </c>
      <c r="F3049" s="6"/>
    </row>
    <row r="3050" spans="1:6" ht="15.75" thickBot="1" x14ac:dyDescent="0.3">
      <c r="A3050" s="35" t="s">
        <v>31</v>
      </c>
      <c r="B3050" s="7" t="s">
        <v>32</v>
      </c>
      <c r="C3050" s="15">
        <v>45383</v>
      </c>
      <c r="D3050" s="35" t="s">
        <v>33</v>
      </c>
      <c r="E3050" s="7" t="s">
        <v>34</v>
      </c>
      <c r="F3050" s="6"/>
    </row>
    <row r="3051" spans="1:6" ht="15.75" thickBot="1" x14ac:dyDescent="0.3">
      <c r="A3051" s="36"/>
      <c r="B3051" s="7" t="s">
        <v>36</v>
      </c>
      <c r="C3051" s="5">
        <f>IF(C3050="","",IF(AND(MONTH(C3050)&gt;=1,MONTH(C3050)&lt;=3),1,IF(AND(MONTH(C3050)&gt;=4,MONTH(C3050)&lt;=6),2,IF(AND(MONTH(C3050)&gt;=7,MONTH(C3050)&lt;=9),3,4))))</f>
        <v>2</v>
      </c>
      <c r="D3051" s="36"/>
      <c r="E3051" s="7" t="s">
        <v>37</v>
      </c>
      <c r="F3051" s="6"/>
    </row>
    <row r="3052" spans="1:6" ht="15.75" thickBot="1" x14ac:dyDescent="0.3">
      <c r="A3052" s="36"/>
      <c r="B3052" s="7" t="s">
        <v>39</v>
      </c>
      <c r="C3052" s="15">
        <v>45473</v>
      </c>
      <c r="D3052" s="36"/>
      <c r="E3052" s="7" t="s">
        <v>40</v>
      </c>
      <c r="F3052" s="6"/>
    </row>
    <row r="3053" spans="1:6" ht="15.75" thickBot="1" x14ac:dyDescent="0.3">
      <c r="A3053" s="36"/>
      <c r="B3053" s="7" t="s">
        <v>36</v>
      </c>
      <c r="C3053" s="5">
        <f>IF(C3052="","",IF(AND(MONTH(C3052)&gt;=1,MONTH(C3052)&lt;=3),1,IF(AND(MONTH(C3052)&gt;=4,MONTH(C3052)&lt;=6),2,IF(AND(MONTH(C3052)&gt;=7,MONTH(C3052)&lt;=9),3,4))))</f>
        <v>2</v>
      </c>
      <c r="D3053" s="36"/>
      <c r="E3053" s="7" t="s">
        <v>41</v>
      </c>
      <c r="F3053" s="6"/>
    </row>
    <row r="3054" spans="1:6" ht="15.75" thickBot="1" x14ac:dyDescent="0.3">
      <c r="A3054" s="40"/>
      <c r="B3054" s="40"/>
      <c r="C3054" s="40"/>
      <c r="D3054" s="40"/>
      <c r="E3054" s="40"/>
      <c r="F3054" s="40"/>
    </row>
    <row r="3055" spans="1:6" ht="15.75" thickBot="1" x14ac:dyDescent="0.3">
      <c r="A3055" s="12" t="s">
        <v>42</v>
      </c>
      <c r="B3055" s="12" t="s">
        <v>43</v>
      </c>
      <c r="C3055" s="12" t="s">
        <v>44</v>
      </c>
      <c r="D3055" s="12" t="s">
        <v>45</v>
      </c>
      <c r="E3055" s="12" t="s">
        <v>46</v>
      </c>
      <c r="F3055" s="12" t="s">
        <v>47</v>
      </c>
    </row>
    <row r="3056" spans="1:6" x14ac:dyDescent="0.25">
      <c r="A3056" s="8">
        <v>82101602</v>
      </c>
      <c r="B3056" s="9" t="str">
        <f ca="1">IFERROR(INDEX(UNSPSCDes,MATCH(INDIRECT(ADDRESS(ROW(),COLUMN()-1,4)),UNSPSCCode,0)),"")</f>
        <v>Publicidad en televisión</v>
      </c>
      <c r="C3056" s="8" t="s">
        <v>55</v>
      </c>
      <c r="D3056" s="8">
        <v>1</v>
      </c>
      <c r="E3056" s="11">
        <v>20000000</v>
      </c>
      <c r="F3056" s="10">
        <f ca="1">INDIRECT(ADDRESS(ROW(),COLUMN()-2,4))*INDIRECT(ADDRESS(ROW(),COLUMN()-1,4))</f>
        <v>20000000</v>
      </c>
    </row>
    <row r="3057" spans="1:6" x14ac:dyDescent="0.25">
      <c r="A3057" s="8">
        <v>82101601</v>
      </c>
      <c r="B3057" s="9" t="str">
        <f ca="1">IFERROR(INDEX(UNSPSCDes,MATCH(INDIRECT(ADDRESS(ROW(),COLUMN()-1,4)),UNSPSCCode,0)),"")</f>
        <v>Publicidad en radio</v>
      </c>
      <c r="C3057" s="33" t="s">
        <v>55</v>
      </c>
      <c r="D3057" s="8">
        <v>1</v>
      </c>
      <c r="E3057" s="11">
        <v>20000000</v>
      </c>
      <c r="F3057" s="10">
        <f ca="1">INDIRECT(ADDRESS(ROW(),COLUMN()-2,4))*INDIRECT(ADDRESS(ROW(),COLUMN()-1,4))</f>
        <v>20000000</v>
      </c>
    </row>
    <row r="3058" spans="1:6" x14ac:dyDescent="0.25">
      <c r="A3058" s="8">
        <v>82101603</v>
      </c>
      <c r="B3058" s="9" t="str">
        <f ca="1">IFERROR(INDEX(UNSPSCDes,MATCH(INDIRECT(ADDRESS(ROW(),COLUMN()-1,4)),UNSPSCCode,0)),"")</f>
        <v>Publicidad en internet</v>
      </c>
      <c r="C3058" s="33" t="s">
        <v>55</v>
      </c>
      <c r="D3058" s="8">
        <v>1</v>
      </c>
      <c r="E3058" s="11">
        <v>10000000</v>
      </c>
      <c r="F3058" s="10">
        <f ca="1">INDIRECT(ADDRESS(ROW(),COLUMN()-2,4))*INDIRECT(ADDRESS(ROW(),COLUMN()-1,4))</f>
        <v>10000000</v>
      </c>
    </row>
    <row r="3059" spans="1:6" x14ac:dyDescent="0.25">
      <c r="A3059" s="40"/>
      <c r="B3059" s="40"/>
      <c r="C3059" s="40"/>
      <c r="D3059" s="40"/>
      <c r="E3059" s="13" t="s">
        <v>87</v>
      </c>
      <c r="F3059" s="14">
        <f ca="1">SUM(Table3101[MONTO TOTAL ESTIMADO])</f>
        <v>50000000</v>
      </c>
    </row>
    <row r="3060" spans="1:6" ht="15.75" thickBot="1" x14ac:dyDescent="0.3">
      <c r="A3060" s="42"/>
      <c r="B3060" s="42"/>
      <c r="C3060" s="42"/>
      <c r="D3060" s="42"/>
      <c r="E3060" s="42"/>
      <c r="F3060" s="42"/>
    </row>
    <row r="3061" spans="1:6" ht="23.25" thickBot="1" x14ac:dyDescent="0.3">
      <c r="A3061" s="4" t="s">
        <v>19</v>
      </c>
      <c r="B3061" s="4" t="s">
        <v>20</v>
      </c>
      <c r="C3061" s="4" t="s">
        <v>21</v>
      </c>
      <c r="D3061" s="4" t="s">
        <v>22</v>
      </c>
      <c r="E3061" s="4" t="s">
        <v>23</v>
      </c>
      <c r="F3061" s="4" t="s">
        <v>24</v>
      </c>
    </row>
    <row r="3062" spans="1:6" ht="15.75" thickBot="1" x14ac:dyDescent="0.3">
      <c r="A3062" s="32" t="s">
        <v>393</v>
      </c>
      <c r="B3062" s="32" t="s">
        <v>394</v>
      </c>
      <c r="C3062" s="32" t="s">
        <v>27</v>
      </c>
      <c r="D3062" s="6" t="s">
        <v>28</v>
      </c>
      <c r="E3062" s="6" t="s">
        <v>262</v>
      </c>
      <c r="F3062" s="6"/>
    </row>
    <row r="3063" spans="1:6" ht="15.75" thickBot="1" x14ac:dyDescent="0.3">
      <c r="A3063" s="35" t="s">
        <v>31</v>
      </c>
      <c r="B3063" s="7" t="s">
        <v>32</v>
      </c>
      <c r="C3063" s="15">
        <v>45383</v>
      </c>
      <c r="D3063" s="35" t="s">
        <v>33</v>
      </c>
      <c r="E3063" s="7" t="s">
        <v>34</v>
      </c>
      <c r="F3063" s="6"/>
    </row>
    <row r="3064" spans="1:6" ht="15.75" thickBot="1" x14ac:dyDescent="0.3">
      <c r="A3064" s="36"/>
      <c r="B3064" s="7" t="s">
        <v>36</v>
      </c>
      <c r="C3064" s="5">
        <f>IF(C3063="","",IF(AND(MONTH(C3063)&gt;=1,MONTH(C3063)&lt;=3),1,IF(AND(MONTH(C3063)&gt;=4,MONTH(C3063)&lt;=6),2,IF(AND(MONTH(C3063)&gt;=7,MONTH(C3063)&lt;=9),3,4))))</f>
        <v>2</v>
      </c>
      <c r="D3064" s="36"/>
      <c r="E3064" s="7" t="s">
        <v>37</v>
      </c>
      <c r="F3064" s="6"/>
    </row>
    <row r="3065" spans="1:6" ht="15.75" thickBot="1" x14ac:dyDescent="0.3">
      <c r="A3065" s="36"/>
      <c r="B3065" s="7" t="s">
        <v>39</v>
      </c>
      <c r="C3065" s="15">
        <v>45473</v>
      </c>
      <c r="D3065" s="36"/>
      <c r="E3065" s="7" t="s">
        <v>40</v>
      </c>
      <c r="F3065" s="6"/>
    </row>
    <row r="3066" spans="1:6" ht="15.75" thickBot="1" x14ac:dyDescent="0.3">
      <c r="A3066" s="36"/>
      <c r="B3066" s="7" t="s">
        <v>36</v>
      </c>
      <c r="C3066" s="5">
        <f>IF(C3065="","",IF(AND(MONTH(C3065)&gt;=1,MONTH(C3065)&lt;=3),1,IF(AND(MONTH(C3065)&gt;=4,MONTH(C3065)&lt;=6),2,IF(AND(MONTH(C3065)&gt;=7,MONTH(C3065)&lt;=9),3,4))))</f>
        <v>2</v>
      </c>
      <c r="D3066" s="36"/>
      <c r="E3066" s="7" t="s">
        <v>41</v>
      </c>
      <c r="F3066" s="6"/>
    </row>
    <row r="3067" spans="1:6" ht="15.75" thickBot="1" x14ac:dyDescent="0.3">
      <c r="A3067" s="40"/>
      <c r="B3067" s="40"/>
      <c r="C3067" s="40"/>
      <c r="D3067" s="40"/>
      <c r="E3067" s="40"/>
      <c r="F3067" s="40"/>
    </row>
    <row r="3068" spans="1:6" ht="15.75" thickBot="1" x14ac:dyDescent="0.3">
      <c r="A3068" s="12" t="s">
        <v>42</v>
      </c>
      <c r="B3068" s="12" t="s">
        <v>43</v>
      </c>
      <c r="C3068" s="12" t="s">
        <v>44</v>
      </c>
      <c r="D3068" s="12" t="s">
        <v>45</v>
      </c>
      <c r="E3068" s="12" t="s">
        <v>46</v>
      </c>
      <c r="F3068" s="12" t="s">
        <v>47</v>
      </c>
    </row>
    <row r="3069" spans="1:6" x14ac:dyDescent="0.25">
      <c r="A3069" s="8">
        <v>46181701</v>
      </c>
      <c r="B3069" s="9" t="str">
        <f ca="1">IFERROR(INDEX(UNSPSCDes,MATCH(INDIRECT(ADDRESS(ROW(),COLUMN()-1,4)),UNSPSCCode,0)),"")</f>
        <v>Cascos</v>
      </c>
      <c r="C3069" s="33" t="s">
        <v>55</v>
      </c>
      <c r="D3069" s="8">
        <v>900</v>
      </c>
      <c r="E3069" s="11">
        <v>1500</v>
      </c>
      <c r="F3069" s="10">
        <f ca="1">INDIRECT(ADDRESS(ROW(),COLUMN()-2,4))*INDIRECT(ADDRESS(ROW(),COLUMN()-1,4))</f>
        <v>1350000</v>
      </c>
    </row>
    <row r="3070" spans="1:6" x14ac:dyDescent="0.25">
      <c r="A3070" s="40"/>
      <c r="B3070" s="40"/>
      <c r="C3070" s="40"/>
      <c r="D3070" s="40"/>
      <c r="E3070" s="13" t="s">
        <v>87</v>
      </c>
      <c r="F3070" s="14">
        <f ca="1">SUM(Table3102[MONTO TOTAL ESTIMADO])</f>
        <v>1350000</v>
      </c>
    </row>
    <row r="3071" spans="1:6" ht="15.75" thickBot="1" x14ac:dyDescent="0.3">
      <c r="A3071" s="42"/>
      <c r="B3071" s="42"/>
      <c r="C3071" s="42"/>
      <c r="D3071" s="42"/>
      <c r="E3071" s="42"/>
      <c r="F3071" s="42"/>
    </row>
    <row r="3072" spans="1:6" ht="23.25" thickBot="1" x14ac:dyDescent="0.3">
      <c r="A3072" s="4" t="s">
        <v>19</v>
      </c>
      <c r="B3072" s="4" t="s">
        <v>20</v>
      </c>
      <c r="C3072" s="4" t="s">
        <v>21</v>
      </c>
      <c r="D3072" s="4" t="s">
        <v>22</v>
      </c>
      <c r="E3072" s="4" t="s">
        <v>23</v>
      </c>
      <c r="F3072" s="4" t="s">
        <v>24</v>
      </c>
    </row>
    <row r="3073" spans="1:6" ht="15.75" thickBot="1" x14ac:dyDescent="0.3">
      <c r="A3073" s="32" t="s">
        <v>396</v>
      </c>
      <c r="B3073" s="32" t="s">
        <v>397</v>
      </c>
      <c r="C3073" s="32" t="s">
        <v>27</v>
      </c>
      <c r="D3073" s="6" t="s">
        <v>28</v>
      </c>
      <c r="E3073" s="6" t="s">
        <v>262</v>
      </c>
      <c r="F3073" s="6"/>
    </row>
    <row r="3074" spans="1:6" ht="15.75" thickBot="1" x14ac:dyDescent="0.3">
      <c r="A3074" s="35" t="s">
        <v>31</v>
      </c>
      <c r="B3074" s="7" t="s">
        <v>32</v>
      </c>
      <c r="C3074" s="15">
        <v>45383</v>
      </c>
      <c r="D3074" s="35" t="s">
        <v>33</v>
      </c>
      <c r="E3074" s="7" t="s">
        <v>34</v>
      </c>
      <c r="F3074" s="6"/>
    </row>
    <row r="3075" spans="1:6" ht="15.75" thickBot="1" x14ac:dyDescent="0.3">
      <c r="A3075" s="36"/>
      <c r="B3075" s="7" t="s">
        <v>36</v>
      </c>
      <c r="C3075" s="5">
        <f>IF(C3074="","",IF(AND(MONTH(C3074)&gt;=1,MONTH(C3074)&lt;=3),1,IF(AND(MONTH(C3074)&gt;=4,MONTH(C3074)&lt;=6),2,IF(AND(MONTH(C3074)&gt;=7,MONTH(C3074)&lt;=9),3,4))))</f>
        <v>2</v>
      </c>
      <c r="D3075" s="36"/>
      <c r="E3075" s="7" t="s">
        <v>37</v>
      </c>
      <c r="F3075" s="6"/>
    </row>
    <row r="3076" spans="1:6" ht="15.75" thickBot="1" x14ac:dyDescent="0.3">
      <c r="A3076" s="36"/>
      <c r="B3076" s="7" t="s">
        <v>39</v>
      </c>
      <c r="C3076" s="15">
        <v>45473</v>
      </c>
      <c r="D3076" s="36"/>
      <c r="E3076" s="7" t="s">
        <v>40</v>
      </c>
      <c r="F3076" s="6"/>
    </row>
    <row r="3077" spans="1:6" ht="15.75" thickBot="1" x14ac:dyDescent="0.3">
      <c r="A3077" s="36"/>
      <c r="B3077" s="7" t="s">
        <v>36</v>
      </c>
      <c r="C3077" s="5">
        <f>IF(C3076="","",IF(AND(MONTH(C3076)&gt;=1,MONTH(C3076)&lt;=3),1,IF(AND(MONTH(C3076)&gt;=4,MONTH(C3076)&lt;=6),2,IF(AND(MONTH(C3076)&gt;=7,MONTH(C3076)&lt;=9),3,4))))</f>
        <v>2</v>
      </c>
      <c r="D3077" s="36"/>
      <c r="E3077" s="7" t="s">
        <v>41</v>
      </c>
      <c r="F3077" s="6"/>
    </row>
    <row r="3078" spans="1:6" ht="15.75" thickBot="1" x14ac:dyDescent="0.3">
      <c r="A3078" s="40"/>
      <c r="B3078" s="40"/>
      <c r="C3078" s="40"/>
      <c r="D3078" s="40"/>
      <c r="E3078" s="40"/>
      <c r="F3078" s="40"/>
    </row>
    <row r="3079" spans="1:6" ht="15.75" thickBot="1" x14ac:dyDescent="0.3">
      <c r="A3079" s="12" t="s">
        <v>42</v>
      </c>
      <c r="B3079" s="12" t="s">
        <v>43</v>
      </c>
      <c r="C3079" s="12" t="s">
        <v>44</v>
      </c>
      <c r="D3079" s="12" t="s">
        <v>45</v>
      </c>
      <c r="E3079" s="12" t="s">
        <v>46</v>
      </c>
      <c r="F3079" s="12" t="s">
        <v>47</v>
      </c>
    </row>
    <row r="3080" spans="1:6" x14ac:dyDescent="0.25">
      <c r="A3080" s="8">
        <v>46181507</v>
      </c>
      <c r="B3080" s="9" t="str">
        <f ca="1">IFERROR(INDEX(UNSPSCDes,MATCH(INDIRECT(ADDRESS(ROW(),COLUMN()-1,4)),UNSPSCCode,0)),"")</f>
        <v>Chalecos de seguridad</v>
      </c>
      <c r="C3080" s="33" t="s">
        <v>55</v>
      </c>
      <c r="D3080" s="8">
        <v>5000</v>
      </c>
      <c r="E3080" s="11">
        <v>340</v>
      </c>
      <c r="F3080" s="10">
        <f ca="1">INDIRECT(ADDRESS(ROW(),COLUMN()-2,4))*INDIRECT(ADDRESS(ROW(),COLUMN()-1,4))</f>
        <v>1700000</v>
      </c>
    </row>
    <row r="3081" spans="1:6" x14ac:dyDescent="0.25">
      <c r="A3081" s="40"/>
      <c r="B3081" s="40"/>
      <c r="C3081" s="40"/>
      <c r="D3081" s="40"/>
      <c r="E3081" s="13" t="s">
        <v>87</v>
      </c>
      <c r="F3081" s="14">
        <f ca="1">SUM(Table3103[MONTO TOTAL ESTIMADO])</f>
        <v>1700000</v>
      </c>
    </row>
    <row r="3082" spans="1:6" ht="15.75" thickBot="1" x14ac:dyDescent="0.3">
      <c r="A3082" s="42"/>
      <c r="B3082" s="42"/>
      <c r="C3082" s="42"/>
      <c r="D3082" s="42"/>
      <c r="E3082" s="42"/>
      <c r="F3082" s="42"/>
    </row>
    <row r="3083" spans="1:6" ht="23.25" thickBot="1" x14ac:dyDescent="0.3">
      <c r="A3083" s="4" t="s">
        <v>19</v>
      </c>
      <c r="B3083" s="4" t="s">
        <v>20</v>
      </c>
      <c r="C3083" s="4" t="s">
        <v>21</v>
      </c>
      <c r="D3083" s="4" t="s">
        <v>22</v>
      </c>
      <c r="E3083" s="4" t="s">
        <v>23</v>
      </c>
      <c r="F3083" s="4" t="s">
        <v>24</v>
      </c>
    </row>
    <row r="3084" spans="1:6" ht="15.75" thickBot="1" x14ac:dyDescent="0.3">
      <c r="A3084" s="32" t="s">
        <v>399</v>
      </c>
      <c r="B3084" s="32" t="s">
        <v>400</v>
      </c>
      <c r="C3084" s="32" t="s">
        <v>27</v>
      </c>
      <c r="D3084" s="6" t="s">
        <v>28</v>
      </c>
      <c r="E3084" s="6" t="s">
        <v>262</v>
      </c>
      <c r="F3084" s="6"/>
    </row>
    <row r="3085" spans="1:6" ht="15.75" thickBot="1" x14ac:dyDescent="0.3">
      <c r="A3085" s="35" t="s">
        <v>31</v>
      </c>
      <c r="B3085" s="7" t="s">
        <v>32</v>
      </c>
      <c r="C3085" s="15">
        <v>45383</v>
      </c>
      <c r="D3085" s="35" t="s">
        <v>33</v>
      </c>
      <c r="E3085" s="7" t="s">
        <v>34</v>
      </c>
      <c r="F3085" s="6"/>
    </row>
    <row r="3086" spans="1:6" ht="15.75" thickBot="1" x14ac:dyDescent="0.3">
      <c r="A3086" s="36"/>
      <c r="B3086" s="7" t="s">
        <v>36</v>
      </c>
      <c r="C3086" s="5">
        <f>IF(C3085="","",IF(AND(MONTH(C3085)&gt;=1,MONTH(C3085)&lt;=3),1,IF(AND(MONTH(C3085)&gt;=4,MONTH(C3085)&lt;=6),2,IF(AND(MONTH(C3085)&gt;=7,MONTH(C3085)&lt;=9),3,4))))</f>
        <v>2</v>
      </c>
      <c r="D3086" s="36"/>
      <c r="E3086" s="7" t="s">
        <v>37</v>
      </c>
      <c r="F3086" s="6"/>
    </row>
    <row r="3087" spans="1:6" ht="15.75" thickBot="1" x14ac:dyDescent="0.3">
      <c r="A3087" s="36"/>
      <c r="B3087" s="7" t="s">
        <v>39</v>
      </c>
      <c r="C3087" s="15">
        <v>45473</v>
      </c>
      <c r="D3087" s="36"/>
      <c r="E3087" s="7" t="s">
        <v>40</v>
      </c>
      <c r="F3087" s="6"/>
    </row>
    <row r="3088" spans="1:6" ht="15.75" thickBot="1" x14ac:dyDescent="0.3">
      <c r="A3088" s="36"/>
      <c r="B3088" s="7" t="s">
        <v>36</v>
      </c>
      <c r="C3088" s="5">
        <f>IF(C3087="","",IF(AND(MONTH(C3087)&gt;=1,MONTH(C3087)&lt;=3),1,IF(AND(MONTH(C3087)&gt;=4,MONTH(C3087)&lt;=6),2,IF(AND(MONTH(C3087)&gt;=7,MONTH(C3087)&lt;=9),3,4))))</f>
        <v>2</v>
      </c>
      <c r="D3088" s="36"/>
      <c r="E3088" s="7" t="s">
        <v>41</v>
      </c>
      <c r="F3088" s="6"/>
    </row>
    <row r="3089" spans="1:6" ht="15.75" thickBot="1" x14ac:dyDescent="0.3">
      <c r="A3089" s="40"/>
      <c r="B3089" s="40"/>
      <c r="C3089" s="40"/>
      <c r="D3089" s="40"/>
      <c r="E3089" s="40"/>
      <c r="F3089" s="40"/>
    </row>
    <row r="3090" spans="1:6" ht="15.75" thickBot="1" x14ac:dyDescent="0.3">
      <c r="A3090" s="12" t="s">
        <v>42</v>
      </c>
      <c r="B3090" s="12" t="s">
        <v>43</v>
      </c>
      <c r="C3090" s="12" t="s">
        <v>44</v>
      </c>
      <c r="D3090" s="12" t="s">
        <v>45</v>
      </c>
      <c r="E3090" s="12" t="s">
        <v>46</v>
      </c>
      <c r="F3090" s="12" t="s">
        <v>47</v>
      </c>
    </row>
    <row r="3091" spans="1:6" x14ac:dyDescent="0.25">
      <c r="A3091" s="8">
        <v>46181701</v>
      </c>
      <c r="B3091" s="9" t="str">
        <f ca="1">IFERROR(INDEX(UNSPSCDes,MATCH(INDIRECT(ADDRESS(ROW(),COLUMN()-1,4)),UNSPSCCode,0)),"")</f>
        <v>Cascos</v>
      </c>
      <c r="C3091" s="8" t="s">
        <v>55</v>
      </c>
      <c r="D3091" s="8">
        <v>900</v>
      </c>
      <c r="E3091" s="11">
        <v>1500</v>
      </c>
      <c r="F3091" s="10">
        <f ca="1">INDIRECT(ADDRESS(ROW(),COLUMN()-2,4))*INDIRECT(ADDRESS(ROW(),COLUMN()-1,4))</f>
        <v>1350000</v>
      </c>
    </row>
    <row r="3092" spans="1:6" x14ac:dyDescent="0.25">
      <c r="A3092" s="40"/>
      <c r="B3092" s="40"/>
      <c r="C3092" s="40"/>
      <c r="D3092" s="40"/>
      <c r="E3092" s="13" t="s">
        <v>87</v>
      </c>
      <c r="F3092" s="14">
        <f ca="1">SUM(Table3104[MONTO TOTAL ESTIMADO])</f>
        <v>1350000</v>
      </c>
    </row>
    <row r="3093" spans="1:6" ht="15.75" thickBot="1" x14ac:dyDescent="0.3">
      <c r="A3093" s="42"/>
      <c r="B3093" s="42"/>
      <c r="C3093" s="42"/>
      <c r="D3093" s="42"/>
      <c r="E3093" s="42"/>
      <c r="F3093" s="42"/>
    </row>
    <row r="3094" spans="1:6" ht="23.25" thickBot="1" x14ac:dyDescent="0.3">
      <c r="A3094" s="4" t="s">
        <v>19</v>
      </c>
      <c r="B3094" s="4" t="s">
        <v>20</v>
      </c>
      <c r="C3094" s="4" t="s">
        <v>21</v>
      </c>
      <c r="D3094" s="4" t="s">
        <v>22</v>
      </c>
      <c r="E3094" s="4" t="s">
        <v>23</v>
      </c>
      <c r="F3094" s="4" t="s">
        <v>24</v>
      </c>
    </row>
    <row r="3095" spans="1:6" ht="15.75" thickBot="1" x14ac:dyDescent="0.3">
      <c r="A3095" s="32" t="s">
        <v>401</v>
      </c>
      <c r="B3095" s="32" t="s">
        <v>402</v>
      </c>
      <c r="C3095" s="32" t="s">
        <v>27</v>
      </c>
      <c r="D3095" s="6" t="s">
        <v>188</v>
      </c>
      <c r="E3095" s="6" t="s">
        <v>262</v>
      </c>
      <c r="F3095" s="6"/>
    </row>
    <row r="3096" spans="1:6" ht="15.75" thickBot="1" x14ac:dyDescent="0.3">
      <c r="A3096" s="35" t="s">
        <v>31</v>
      </c>
      <c r="B3096" s="7" t="s">
        <v>32</v>
      </c>
      <c r="C3096" s="15">
        <v>45383</v>
      </c>
      <c r="D3096" s="35" t="s">
        <v>33</v>
      </c>
      <c r="E3096" s="7" t="s">
        <v>34</v>
      </c>
      <c r="F3096" s="6"/>
    </row>
    <row r="3097" spans="1:6" ht="15.75" thickBot="1" x14ac:dyDescent="0.3">
      <c r="A3097" s="36"/>
      <c r="B3097" s="7" t="s">
        <v>36</v>
      </c>
      <c r="C3097" s="5">
        <f>IF(C3096="","",IF(AND(MONTH(C3096)&gt;=1,MONTH(C3096)&lt;=3),1,IF(AND(MONTH(C3096)&gt;=4,MONTH(C3096)&lt;=6),2,IF(AND(MONTH(C3096)&gt;=7,MONTH(C3096)&lt;=9),3,4))))</f>
        <v>2</v>
      </c>
      <c r="D3097" s="36"/>
      <c r="E3097" s="7" t="s">
        <v>37</v>
      </c>
      <c r="F3097" s="6"/>
    </row>
    <row r="3098" spans="1:6" ht="15.75" thickBot="1" x14ac:dyDescent="0.3">
      <c r="A3098" s="36"/>
      <c r="B3098" s="7" t="s">
        <v>39</v>
      </c>
      <c r="C3098" s="15">
        <v>45473</v>
      </c>
      <c r="D3098" s="36"/>
      <c r="E3098" s="7" t="s">
        <v>40</v>
      </c>
      <c r="F3098" s="6"/>
    </row>
    <row r="3099" spans="1:6" ht="15.75" thickBot="1" x14ac:dyDescent="0.3">
      <c r="A3099" s="36"/>
      <c r="B3099" s="7" t="s">
        <v>36</v>
      </c>
      <c r="C3099" s="5">
        <f>IF(C3098="","",IF(AND(MONTH(C3098)&gt;=1,MONTH(C3098)&lt;=3),1,IF(AND(MONTH(C3098)&gt;=4,MONTH(C3098)&lt;=6),2,IF(AND(MONTH(C3098)&gt;=7,MONTH(C3098)&lt;=9),3,4))))</f>
        <v>2</v>
      </c>
      <c r="D3099" s="36"/>
      <c r="E3099" s="7" t="s">
        <v>41</v>
      </c>
      <c r="F3099" s="6"/>
    </row>
    <row r="3100" spans="1:6" ht="15.75" thickBot="1" x14ac:dyDescent="0.3">
      <c r="A3100" s="40"/>
      <c r="B3100" s="40"/>
      <c r="C3100" s="40"/>
      <c r="D3100" s="40"/>
      <c r="E3100" s="40"/>
      <c r="F3100" s="40"/>
    </row>
    <row r="3101" spans="1:6" ht="15.75" thickBot="1" x14ac:dyDescent="0.3">
      <c r="A3101" s="12" t="s">
        <v>42</v>
      </c>
      <c r="B3101" s="12" t="s">
        <v>43</v>
      </c>
      <c r="C3101" s="12" t="s">
        <v>44</v>
      </c>
      <c r="D3101" s="12" t="s">
        <v>45</v>
      </c>
      <c r="E3101" s="12" t="s">
        <v>46</v>
      </c>
      <c r="F3101" s="12" t="s">
        <v>47</v>
      </c>
    </row>
    <row r="3102" spans="1:6" x14ac:dyDescent="0.25">
      <c r="A3102" s="8">
        <v>14111704</v>
      </c>
      <c r="B3102" s="9" t="str">
        <f ca="1">IFERROR(INDEX(UNSPSCDes,MATCH(INDIRECT(ADDRESS(ROW(),COLUMN()-1,4)),UNSPSCCode,0)),"")</f>
        <v>Papel higiénico</v>
      </c>
      <c r="C3102" s="8" t="s">
        <v>55</v>
      </c>
      <c r="D3102" s="8">
        <v>100</v>
      </c>
      <c r="E3102" s="11">
        <v>870</v>
      </c>
      <c r="F3102" s="10">
        <f ca="1">INDIRECT(ADDRESS(ROW(),COLUMN()-2,4))*INDIRECT(ADDRESS(ROW(),COLUMN()-1,4))</f>
        <v>87000</v>
      </c>
    </row>
    <row r="3103" spans="1:6" x14ac:dyDescent="0.25">
      <c r="A3103" s="8">
        <v>14111703</v>
      </c>
      <c r="B3103" s="9" t="str">
        <f ca="1">IFERROR(INDEX(UNSPSCDes,MATCH(INDIRECT(ADDRESS(ROW(),COLUMN()-1,4)),UNSPSCCode,0)),"")</f>
        <v>Toallas de papel</v>
      </c>
      <c r="C3103" s="33" t="s">
        <v>55</v>
      </c>
      <c r="D3103" s="8">
        <v>30</v>
      </c>
      <c r="E3103" s="11">
        <v>895.66</v>
      </c>
      <c r="F3103" s="10">
        <f ca="1">INDIRECT(ADDRESS(ROW(),COLUMN()-2,4))*INDIRECT(ADDRESS(ROW(),COLUMN()-1,4))</f>
        <v>26869.8</v>
      </c>
    </row>
    <row r="3104" spans="1:6" x14ac:dyDescent="0.25">
      <c r="A3104" s="8">
        <v>52151504</v>
      </c>
      <c r="B3104" s="9" t="str">
        <f ca="1">IFERROR(INDEX(UNSPSCDes,MATCH(INDIRECT(ADDRESS(ROW(),COLUMN()-1,4)),UNSPSCCode,0)),"")</f>
        <v>Tazas o vasos o tapas desechables para uso doméstico</v>
      </c>
      <c r="C3104" s="8" t="s">
        <v>74</v>
      </c>
      <c r="D3104" s="8">
        <v>100</v>
      </c>
      <c r="E3104" s="11">
        <v>195.82</v>
      </c>
      <c r="F3104" s="10">
        <f ca="1">INDIRECT(ADDRESS(ROW(),COLUMN()-2,4))*INDIRECT(ADDRESS(ROW(),COLUMN()-1,4))</f>
        <v>19582</v>
      </c>
    </row>
    <row r="3105" spans="1:6" x14ac:dyDescent="0.25">
      <c r="A3105" s="8">
        <v>52151504</v>
      </c>
      <c r="B3105" s="9" t="str">
        <f ca="1">IFERROR(INDEX(UNSPSCDes,MATCH(INDIRECT(ADDRESS(ROW(),COLUMN()-1,4)),UNSPSCCode,0)),"")</f>
        <v>Tazas o vasos o tapas desechables para uso doméstico</v>
      </c>
      <c r="C3105" s="33" t="s">
        <v>74</v>
      </c>
      <c r="D3105" s="8">
        <v>150</v>
      </c>
      <c r="E3105" s="11">
        <v>114</v>
      </c>
      <c r="F3105" s="10">
        <f ca="1">INDIRECT(ADDRESS(ROW(),COLUMN()-2,4))*INDIRECT(ADDRESS(ROW(),COLUMN()-1,4))</f>
        <v>17100</v>
      </c>
    </row>
    <row r="3106" spans="1:6" x14ac:dyDescent="0.25">
      <c r="A3106" s="40"/>
      <c r="B3106" s="40"/>
      <c r="C3106" s="40"/>
      <c r="D3106" s="40"/>
      <c r="E3106" s="13" t="s">
        <v>87</v>
      </c>
      <c r="F3106" s="14">
        <f ca="1">SUM(Table3105[MONTO TOTAL ESTIMADO])</f>
        <v>150551.79999999999</v>
      </c>
    </row>
    <row r="3107" spans="1:6" ht="15.75" thickBot="1" x14ac:dyDescent="0.3">
      <c r="A3107" s="42"/>
      <c r="B3107" s="42"/>
      <c r="C3107" s="42"/>
      <c r="D3107" s="42"/>
      <c r="E3107" s="42"/>
      <c r="F3107" s="42"/>
    </row>
    <row r="3108" spans="1:6" ht="23.25" thickBot="1" x14ac:dyDescent="0.3">
      <c r="A3108" s="4" t="s">
        <v>19</v>
      </c>
      <c r="B3108" s="4" t="s">
        <v>20</v>
      </c>
      <c r="C3108" s="4" t="s">
        <v>21</v>
      </c>
      <c r="D3108" s="4" t="s">
        <v>22</v>
      </c>
      <c r="E3108" s="4" t="s">
        <v>23</v>
      </c>
      <c r="F3108" s="4" t="s">
        <v>24</v>
      </c>
    </row>
    <row r="3109" spans="1:6" ht="15.75" thickBot="1" x14ac:dyDescent="0.3">
      <c r="A3109" s="32" t="s">
        <v>403</v>
      </c>
      <c r="B3109" s="32" t="s">
        <v>404</v>
      </c>
      <c r="C3109" s="6" t="s">
        <v>27</v>
      </c>
      <c r="D3109" s="6" t="s">
        <v>188</v>
      </c>
      <c r="E3109" s="6" t="s">
        <v>262</v>
      </c>
      <c r="F3109" s="6"/>
    </row>
    <row r="3110" spans="1:6" ht="15.75" thickBot="1" x14ac:dyDescent="0.3">
      <c r="A3110" s="35" t="s">
        <v>31</v>
      </c>
      <c r="B3110" s="7" t="s">
        <v>32</v>
      </c>
      <c r="C3110" s="15">
        <v>45383</v>
      </c>
      <c r="D3110" s="35" t="s">
        <v>33</v>
      </c>
      <c r="E3110" s="7" t="s">
        <v>34</v>
      </c>
      <c r="F3110" s="6"/>
    </row>
    <row r="3111" spans="1:6" ht="15.75" thickBot="1" x14ac:dyDescent="0.3">
      <c r="A3111" s="36"/>
      <c r="B3111" s="7" t="s">
        <v>36</v>
      </c>
      <c r="C3111" s="5">
        <f>IF(C3110="","",IF(AND(MONTH(C3110)&gt;=1,MONTH(C3110)&lt;=3),1,IF(AND(MONTH(C3110)&gt;=4,MONTH(C3110)&lt;=6),2,IF(AND(MONTH(C3110)&gt;=7,MONTH(C3110)&lt;=9),3,4))))</f>
        <v>2</v>
      </c>
      <c r="D3111" s="36"/>
      <c r="E3111" s="7" t="s">
        <v>37</v>
      </c>
      <c r="F3111" s="6"/>
    </row>
    <row r="3112" spans="1:6" ht="15.75" thickBot="1" x14ac:dyDescent="0.3">
      <c r="A3112" s="36"/>
      <c r="B3112" s="7" t="s">
        <v>39</v>
      </c>
      <c r="C3112" s="15">
        <v>45473</v>
      </c>
      <c r="D3112" s="36"/>
      <c r="E3112" s="7" t="s">
        <v>40</v>
      </c>
      <c r="F3112" s="6"/>
    </row>
    <row r="3113" spans="1:6" ht="15.75" thickBot="1" x14ac:dyDescent="0.3">
      <c r="A3113" s="36"/>
      <c r="B3113" s="7" t="s">
        <v>36</v>
      </c>
      <c r="C3113" s="5">
        <f>IF(C3112="","",IF(AND(MONTH(C3112)&gt;=1,MONTH(C3112)&lt;=3),1,IF(AND(MONTH(C3112)&gt;=4,MONTH(C3112)&lt;=6),2,IF(AND(MONTH(C3112)&gt;=7,MONTH(C3112)&lt;=9),3,4))))</f>
        <v>2</v>
      </c>
      <c r="D3113" s="36"/>
      <c r="E3113" s="7" t="s">
        <v>41</v>
      </c>
      <c r="F3113" s="6"/>
    </row>
    <row r="3114" spans="1:6" ht="15.75" thickBot="1" x14ac:dyDescent="0.3">
      <c r="A3114" s="40"/>
      <c r="B3114" s="40"/>
      <c r="C3114" s="40"/>
      <c r="D3114" s="40"/>
      <c r="E3114" s="40"/>
      <c r="F3114" s="40"/>
    </row>
    <row r="3115" spans="1:6" ht="15.75" thickBot="1" x14ac:dyDescent="0.3">
      <c r="A3115" s="12" t="s">
        <v>42</v>
      </c>
      <c r="B3115" s="12" t="s">
        <v>43</v>
      </c>
      <c r="C3115" s="12" t="s">
        <v>44</v>
      </c>
      <c r="D3115" s="12" t="s">
        <v>45</v>
      </c>
      <c r="E3115" s="12" t="s">
        <v>46</v>
      </c>
      <c r="F3115" s="12" t="s">
        <v>47</v>
      </c>
    </row>
    <row r="3116" spans="1:6" x14ac:dyDescent="0.25">
      <c r="A3116" s="8">
        <v>31211505</v>
      </c>
      <c r="B3116" s="9" t="str">
        <f ca="1">IFERROR(INDEX(UNSPSCDes,MATCH(INDIRECT(ADDRESS(ROW(),COLUMN()-1,4)),UNSPSCCode,0)),"")</f>
        <v>Pinturas de aceite</v>
      </c>
      <c r="C3116" s="33" t="s">
        <v>55</v>
      </c>
      <c r="D3116" s="8">
        <v>20</v>
      </c>
      <c r="E3116" s="11">
        <v>1552</v>
      </c>
      <c r="F3116" s="10">
        <f ca="1">INDIRECT(ADDRESS(ROW(),COLUMN()-2,4))*INDIRECT(ADDRESS(ROW(),COLUMN()-1,4))</f>
        <v>31040</v>
      </c>
    </row>
    <row r="3117" spans="1:6" x14ac:dyDescent="0.25">
      <c r="A3117" s="40"/>
      <c r="B3117" s="40"/>
      <c r="C3117" s="40"/>
      <c r="D3117" s="40"/>
      <c r="E3117" s="13" t="s">
        <v>87</v>
      </c>
      <c r="F3117" s="14">
        <f ca="1">SUM(Table3106[MONTO TOTAL ESTIMADO])</f>
        <v>31040</v>
      </c>
    </row>
    <row r="3118" spans="1:6" ht="15.75" thickBot="1" x14ac:dyDescent="0.3">
      <c r="A3118" s="42"/>
      <c r="B3118" s="42"/>
      <c r="C3118" s="42"/>
      <c r="D3118" s="42"/>
      <c r="E3118" s="42"/>
      <c r="F3118" s="42"/>
    </row>
    <row r="3119" spans="1:6" ht="23.25" thickBot="1" x14ac:dyDescent="0.3">
      <c r="A3119" s="4" t="s">
        <v>19</v>
      </c>
      <c r="B3119" s="4" t="s">
        <v>20</v>
      </c>
      <c r="C3119" s="4" t="s">
        <v>21</v>
      </c>
      <c r="D3119" s="4" t="s">
        <v>22</v>
      </c>
      <c r="E3119" s="4" t="s">
        <v>23</v>
      </c>
      <c r="F3119" s="4" t="s">
        <v>24</v>
      </c>
    </row>
    <row r="3120" spans="1:6" ht="15.75" thickBot="1" x14ac:dyDescent="0.3">
      <c r="A3120" s="32" t="s">
        <v>406</v>
      </c>
      <c r="B3120" s="32" t="s">
        <v>407</v>
      </c>
      <c r="C3120" s="32" t="s">
        <v>27</v>
      </c>
      <c r="D3120" s="6" t="s">
        <v>188</v>
      </c>
      <c r="E3120" s="6" t="s">
        <v>262</v>
      </c>
      <c r="F3120" s="6"/>
    </row>
    <row r="3121" spans="1:6" ht="15.75" thickBot="1" x14ac:dyDescent="0.3">
      <c r="A3121" s="35" t="s">
        <v>31</v>
      </c>
      <c r="B3121" s="7" t="s">
        <v>32</v>
      </c>
      <c r="C3121" s="15">
        <v>45383</v>
      </c>
      <c r="D3121" s="35" t="s">
        <v>33</v>
      </c>
      <c r="E3121" s="7" t="s">
        <v>34</v>
      </c>
      <c r="F3121" s="6"/>
    </row>
    <row r="3122" spans="1:6" ht="15.75" thickBot="1" x14ac:dyDescent="0.3">
      <c r="A3122" s="36"/>
      <c r="B3122" s="7" t="s">
        <v>36</v>
      </c>
      <c r="C3122" s="5">
        <f>IF(C3121="","",IF(AND(MONTH(C3121)&gt;=1,MONTH(C3121)&lt;=3),1,IF(AND(MONTH(C3121)&gt;=4,MONTH(C3121)&lt;=6),2,IF(AND(MONTH(C3121)&gt;=7,MONTH(C3121)&lt;=9),3,4))))</f>
        <v>2</v>
      </c>
      <c r="D3122" s="36"/>
      <c r="E3122" s="7" t="s">
        <v>37</v>
      </c>
      <c r="F3122" s="6"/>
    </row>
    <row r="3123" spans="1:6" ht="15.75" thickBot="1" x14ac:dyDescent="0.3">
      <c r="A3123" s="36"/>
      <c r="B3123" s="7" t="s">
        <v>39</v>
      </c>
      <c r="C3123" s="15">
        <v>45473</v>
      </c>
      <c r="D3123" s="36"/>
      <c r="E3123" s="7" t="s">
        <v>40</v>
      </c>
      <c r="F3123" s="6"/>
    </row>
    <row r="3124" spans="1:6" ht="15.75" thickBot="1" x14ac:dyDescent="0.3">
      <c r="A3124" s="36"/>
      <c r="B3124" s="7" t="s">
        <v>36</v>
      </c>
      <c r="C3124" s="5">
        <f>IF(C3123="","",IF(AND(MONTH(C3123)&gt;=1,MONTH(C3123)&lt;=3),1,IF(AND(MONTH(C3123)&gt;=4,MONTH(C3123)&lt;=6),2,IF(AND(MONTH(C3123)&gt;=7,MONTH(C3123)&lt;=9),3,4))))</f>
        <v>2</v>
      </c>
      <c r="D3124" s="36"/>
      <c r="E3124" s="7" t="s">
        <v>41</v>
      </c>
      <c r="F3124" s="6"/>
    </row>
    <row r="3125" spans="1:6" ht="15.75" thickBot="1" x14ac:dyDescent="0.3">
      <c r="A3125" s="40"/>
      <c r="B3125" s="40"/>
      <c r="C3125" s="40"/>
      <c r="D3125" s="40"/>
      <c r="E3125" s="40"/>
      <c r="F3125" s="40"/>
    </row>
    <row r="3126" spans="1:6" ht="15.75" thickBot="1" x14ac:dyDescent="0.3">
      <c r="A3126" s="12" t="s">
        <v>42</v>
      </c>
      <c r="B3126" s="12" t="s">
        <v>43</v>
      </c>
      <c r="C3126" s="12" t="s">
        <v>44</v>
      </c>
      <c r="D3126" s="12" t="s">
        <v>45</v>
      </c>
      <c r="E3126" s="12" t="s">
        <v>46</v>
      </c>
      <c r="F3126" s="12" t="s">
        <v>47</v>
      </c>
    </row>
    <row r="3127" spans="1:6" x14ac:dyDescent="0.25">
      <c r="A3127" s="8">
        <v>46161508</v>
      </c>
      <c r="B3127" s="9" t="str">
        <f ca="1">IFERROR(INDEX(UNSPSCDes,MATCH(INDIRECT(ADDRESS(ROW(),COLUMN()-1,4)),UNSPSCCode,0)),"")</f>
        <v>Conos o delineadores de tráfico</v>
      </c>
      <c r="C3127" s="33" t="s">
        <v>55</v>
      </c>
      <c r="D3127" s="8">
        <v>50</v>
      </c>
      <c r="E3127" s="11">
        <v>913</v>
      </c>
      <c r="F3127" s="10">
        <f ca="1">INDIRECT(ADDRESS(ROW(),COLUMN()-2,4))*INDIRECT(ADDRESS(ROW(),COLUMN()-1,4))</f>
        <v>45650</v>
      </c>
    </row>
    <row r="3128" spans="1:6" x14ac:dyDescent="0.25">
      <c r="A3128" s="40"/>
      <c r="B3128" s="40"/>
      <c r="C3128" s="40"/>
      <c r="D3128" s="40"/>
      <c r="E3128" s="13" t="s">
        <v>87</v>
      </c>
      <c r="F3128" s="14">
        <f ca="1">SUM(Table3107[MONTO TOTAL ESTIMADO])</f>
        <v>45650</v>
      </c>
    </row>
    <row r="3129" spans="1:6" ht="15.75" thickBot="1" x14ac:dyDescent="0.3">
      <c r="A3129" s="42"/>
      <c r="B3129" s="42"/>
      <c r="C3129" s="42"/>
      <c r="D3129" s="42"/>
      <c r="E3129" s="42"/>
      <c r="F3129" s="42"/>
    </row>
    <row r="3130" spans="1:6" ht="23.25" thickBot="1" x14ac:dyDescent="0.3">
      <c r="A3130" s="4" t="s">
        <v>19</v>
      </c>
      <c r="B3130" s="4" t="s">
        <v>20</v>
      </c>
      <c r="C3130" s="4" t="s">
        <v>21</v>
      </c>
      <c r="D3130" s="4" t="s">
        <v>22</v>
      </c>
      <c r="E3130" s="4" t="s">
        <v>23</v>
      </c>
      <c r="F3130" s="4" t="s">
        <v>24</v>
      </c>
    </row>
    <row r="3131" spans="1:6" ht="15.75" thickBot="1" x14ac:dyDescent="0.3">
      <c r="A3131" s="32" t="s">
        <v>409</v>
      </c>
      <c r="B3131" s="32" t="s">
        <v>410</v>
      </c>
      <c r="C3131" s="32" t="s">
        <v>129</v>
      </c>
      <c r="D3131" s="6" t="s">
        <v>28</v>
      </c>
      <c r="E3131" s="32" t="s">
        <v>29</v>
      </c>
      <c r="F3131" s="6"/>
    </row>
    <row r="3132" spans="1:6" ht="15.75" thickBot="1" x14ac:dyDescent="0.3">
      <c r="A3132" s="35" t="s">
        <v>31</v>
      </c>
      <c r="B3132" s="7" t="s">
        <v>32</v>
      </c>
      <c r="C3132" s="15">
        <v>45383</v>
      </c>
      <c r="D3132" s="35" t="s">
        <v>33</v>
      </c>
      <c r="E3132" s="7" t="s">
        <v>34</v>
      </c>
      <c r="F3132" s="6"/>
    </row>
    <row r="3133" spans="1:6" ht="15.75" thickBot="1" x14ac:dyDescent="0.3">
      <c r="A3133" s="36"/>
      <c r="B3133" s="7" t="s">
        <v>36</v>
      </c>
      <c r="C3133" s="5">
        <f>IF(C3132="","",IF(AND(MONTH(C3132)&gt;=1,MONTH(C3132)&lt;=3),1,IF(AND(MONTH(C3132)&gt;=4,MONTH(C3132)&lt;=6),2,IF(AND(MONTH(C3132)&gt;=7,MONTH(C3132)&lt;=9),3,4))))</f>
        <v>2</v>
      </c>
      <c r="D3133" s="36"/>
      <c r="E3133" s="7" t="s">
        <v>37</v>
      </c>
      <c r="F3133" s="6"/>
    </row>
    <row r="3134" spans="1:6" ht="15.75" thickBot="1" x14ac:dyDescent="0.3">
      <c r="A3134" s="36"/>
      <c r="B3134" s="7" t="s">
        <v>39</v>
      </c>
      <c r="C3134" s="15">
        <v>45473</v>
      </c>
      <c r="D3134" s="36"/>
      <c r="E3134" s="7" t="s">
        <v>40</v>
      </c>
      <c r="F3134" s="6"/>
    </row>
    <row r="3135" spans="1:6" ht="15.75" thickBot="1" x14ac:dyDescent="0.3">
      <c r="A3135" s="36"/>
      <c r="B3135" s="7" t="s">
        <v>36</v>
      </c>
      <c r="C3135" s="5">
        <f>IF(C3134="","",IF(AND(MONTH(C3134)&gt;=1,MONTH(C3134)&lt;=3),1,IF(AND(MONTH(C3134)&gt;=4,MONTH(C3134)&lt;=6),2,IF(AND(MONTH(C3134)&gt;=7,MONTH(C3134)&lt;=9),3,4))))</f>
        <v>2</v>
      </c>
      <c r="D3135" s="36"/>
      <c r="E3135" s="7" t="s">
        <v>41</v>
      </c>
      <c r="F3135" s="6"/>
    </row>
    <row r="3136" spans="1:6" ht="15.75" thickBot="1" x14ac:dyDescent="0.3">
      <c r="A3136" s="40"/>
      <c r="B3136" s="40"/>
      <c r="C3136" s="40"/>
      <c r="D3136" s="40"/>
      <c r="E3136" s="40"/>
      <c r="F3136" s="40"/>
    </row>
    <row r="3137" spans="1:6" ht="15.75" thickBot="1" x14ac:dyDescent="0.3">
      <c r="A3137" s="12" t="s">
        <v>42</v>
      </c>
      <c r="B3137" s="12" t="s">
        <v>43</v>
      </c>
      <c r="C3137" s="12" t="s">
        <v>44</v>
      </c>
      <c r="D3137" s="12" t="s">
        <v>45</v>
      </c>
      <c r="E3137" s="12" t="s">
        <v>46</v>
      </c>
      <c r="F3137" s="12" t="s">
        <v>47</v>
      </c>
    </row>
    <row r="3138" spans="1:6" x14ac:dyDescent="0.25">
      <c r="A3138" s="8">
        <v>72102103</v>
      </c>
      <c r="B3138" s="9" t="str">
        <f ca="1">IFERROR(INDEX(UNSPSCDes,MATCH(INDIRECT(ADDRESS(ROW(),COLUMN()-1,4)),UNSPSCCode,0)),"")</f>
        <v>Servicios de exterminación o fumigación</v>
      </c>
      <c r="C3138" s="33" t="s">
        <v>55</v>
      </c>
      <c r="D3138" s="8">
        <v>1</v>
      </c>
      <c r="E3138" s="11">
        <v>1700000</v>
      </c>
      <c r="F3138" s="10">
        <f ca="1">INDIRECT(ADDRESS(ROW(),COLUMN()-2,4))*INDIRECT(ADDRESS(ROW(),COLUMN()-1,4))</f>
        <v>1700000</v>
      </c>
    </row>
    <row r="3139" spans="1:6" x14ac:dyDescent="0.25">
      <c r="A3139" s="40"/>
      <c r="B3139" s="40"/>
      <c r="C3139" s="40"/>
      <c r="D3139" s="40"/>
      <c r="E3139" s="13" t="s">
        <v>87</v>
      </c>
      <c r="F3139" s="14">
        <f ca="1">SUM(Table3108[MONTO TOTAL ESTIMADO])</f>
        <v>1700000</v>
      </c>
    </row>
    <row r="3140" spans="1:6" ht="15.75" thickBot="1" x14ac:dyDescent="0.3">
      <c r="A3140" s="42"/>
      <c r="B3140" s="42"/>
      <c r="C3140" s="42"/>
      <c r="D3140" s="42"/>
      <c r="E3140" s="42"/>
      <c r="F3140" s="42"/>
    </row>
    <row r="3141" spans="1:6" ht="23.25" thickBot="1" x14ac:dyDescent="0.3">
      <c r="A3141" s="4" t="s">
        <v>19</v>
      </c>
      <c r="B3141" s="4" t="s">
        <v>20</v>
      </c>
      <c r="C3141" s="4" t="s">
        <v>21</v>
      </c>
      <c r="D3141" s="4" t="s">
        <v>22</v>
      </c>
      <c r="E3141" s="4" t="s">
        <v>23</v>
      </c>
      <c r="F3141" s="4" t="s">
        <v>24</v>
      </c>
    </row>
    <row r="3142" spans="1:6" ht="15.75" thickBot="1" x14ac:dyDescent="0.3">
      <c r="A3142" s="32" t="s">
        <v>325</v>
      </c>
      <c r="B3142" s="32" t="s">
        <v>411</v>
      </c>
      <c r="C3142" s="32" t="s">
        <v>27</v>
      </c>
      <c r="D3142" s="6" t="s">
        <v>28</v>
      </c>
      <c r="E3142" s="6" t="s">
        <v>262</v>
      </c>
      <c r="F3142" s="6"/>
    </row>
    <row r="3143" spans="1:6" ht="15.75" thickBot="1" x14ac:dyDescent="0.3">
      <c r="A3143" s="35" t="s">
        <v>31</v>
      </c>
      <c r="B3143" s="7" t="s">
        <v>32</v>
      </c>
      <c r="C3143" s="15">
        <v>45383</v>
      </c>
      <c r="D3143" s="35" t="s">
        <v>33</v>
      </c>
      <c r="E3143" s="7" t="s">
        <v>34</v>
      </c>
      <c r="F3143" s="6"/>
    </row>
    <row r="3144" spans="1:6" ht="15.75" thickBot="1" x14ac:dyDescent="0.3">
      <c r="A3144" s="36"/>
      <c r="B3144" s="7" t="s">
        <v>36</v>
      </c>
      <c r="C3144" s="5">
        <f>IF(C3143="","",IF(AND(MONTH(C3143)&gt;=1,MONTH(C3143)&lt;=3),1,IF(AND(MONTH(C3143)&gt;=4,MONTH(C3143)&lt;=6),2,IF(AND(MONTH(C3143)&gt;=7,MONTH(C3143)&lt;=9),3,4))))</f>
        <v>2</v>
      </c>
      <c r="D3144" s="36"/>
      <c r="E3144" s="7" t="s">
        <v>37</v>
      </c>
      <c r="F3144" s="6"/>
    </row>
    <row r="3145" spans="1:6" ht="15.75" thickBot="1" x14ac:dyDescent="0.3">
      <c r="A3145" s="36"/>
      <c r="B3145" s="7" t="s">
        <v>39</v>
      </c>
      <c r="C3145" s="15">
        <v>45473</v>
      </c>
      <c r="D3145" s="36"/>
      <c r="E3145" s="7" t="s">
        <v>40</v>
      </c>
      <c r="F3145" s="6"/>
    </row>
    <row r="3146" spans="1:6" ht="15.75" thickBot="1" x14ac:dyDescent="0.3">
      <c r="A3146" s="36"/>
      <c r="B3146" s="7" t="s">
        <v>36</v>
      </c>
      <c r="C3146" s="5">
        <f>IF(C3145="","",IF(AND(MONTH(C3145)&gt;=1,MONTH(C3145)&lt;=3),1,IF(AND(MONTH(C3145)&gt;=4,MONTH(C3145)&lt;=6),2,IF(AND(MONTH(C3145)&gt;=7,MONTH(C3145)&lt;=9),3,4))))</f>
        <v>2</v>
      </c>
      <c r="D3146" s="36"/>
      <c r="E3146" s="7" t="s">
        <v>41</v>
      </c>
      <c r="F3146" s="6"/>
    </row>
    <row r="3147" spans="1:6" ht="15.75" thickBot="1" x14ac:dyDescent="0.3">
      <c r="A3147" s="40"/>
      <c r="B3147" s="40"/>
      <c r="C3147" s="40"/>
      <c r="D3147" s="40"/>
      <c r="E3147" s="40"/>
      <c r="F3147" s="40"/>
    </row>
    <row r="3148" spans="1:6" ht="15.75" thickBot="1" x14ac:dyDescent="0.3">
      <c r="A3148" s="12" t="s">
        <v>42</v>
      </c>
      <c r="B3148" s="12" t="s">
        <v>43</v>
      </c>
      <c r="C3148" s="12" t="s">
        <v>44</v>
      </c>
      <c r="D3148" s="12" t="s">
        <v>45</v>
      </c>
      <c r="E3148" s="12" t="s">
        <v>46</v>
      </c>
      <c r="F3148" s="12" t="s">
        <v>47</v>
      </c>
    </row>
    <row r="3149" spans="1:6" x14ac:dyDescent="0.25">
      <c r="A3149" s="8">
        <v>47131803</v>
      </c>
      <c r="B3149" s="9" t="str">
        <f t="shared" ref="B3149:B3159" ca="1" si="15">IFERROR(INDEX(UNSPSCDes,MATCH(INDIRECT(ADDRESS(ROW(),COLUMN()-1,4)),UNSPSCCode,0)),"")</f>
        <v>Desinfectantes para uso doméstico</v>
      </c>
      <c r="C3149" s="8" t="s">
        <v>92</v>
      </c>
      <c r="D3149" s="8">
        <v>85</v>
      </c>
      <c r="E3149" s="11">
        <v>241.9</v>
      </c>
      <c r="F3149" s="10">
        <f t="shared" ref="F3149:F3159" ca="1" si="16">INDIRECT(ADDRESS(ROW(),COLUMN()-2,4))*INDIRECT(ADDRESS(ROW(),COLUMN()-1,4))</f>
        <v>20561.5</v>
      </c>
    </row>
    <row r="3150" spans="1:6" x14ac:dyDescent="0.25">
      <c r="A3150" s="8">
        <v>47131807</v>
      </c>
      <c r="B3150" s="9" t="str">
        <f t="shared" ca="1" si="15"/>
        <v>Blanqueadores</v>
      </c>
      <c r="C3150" s="33" t="s">
        <v>55</v>
      </c>
      <c r="D3150" s="8">
        <v>24</v>
      </c>
      <c r="E3150" s="11">
        <v>14160</v>
      </c>
      <c r="F3150" s="10">
        <f t="shared" ca="1" si="16"/>
        <v>339840</v>
      </c>
    </row>
    <row r="3151" spans="1:6" x14ac:dyDescent="0.25">
      <c r="A3151" s="8">
        <v>47131807</v>
      </c>
      <c r="B3151" s="9" t="str">
        <f t="shared" ca="1" si="15"/>
        <v>Blanqueadores</v>
      </c>
      <c r="C3151" s="8" t="s">
        <v>92</v>
      </c>
      <c r="D3151" s="8">
        <v>24</v>
      </c>
      <c r="E3151" s="11">
        <v>12980</v>
      </c>
      <c r="F3151" s="10">
        <f t="shared" ca="1" si="16"/>
        <v>311520</v>
      </c>
    </row>
    <row r="3152" spans="1:6" x14ac:dyDescent="0.25">
      <c r="A3152" s="8">
        <v>47101608</v>
      </c>
      <c r="B3152" s="9" t="str">
        <f t="shared" ca="1" si="15"/>
        <v>Floculantes</v>
      </c>
      <c r="C3152" s="33" t="s">
        <v>55</v>
      </c>
      <c r="D3152" s="8">
        <v>30</v>
      </c>
      <c r="E3152" s="11">
        <v>542.79999999999995</v>
      </c>
      <c r="F3152" s="10">
        <f t="shared" ca="1" si="16"/>
        <v>16283.999999999998</v>
      </c>
    </row>
    <row r="3153" spans="1:6" x14ac:dyDescent="0.25">
      <c r="A3153" s="8">
        <v>47131807</v>
      </c>
      <c r="B3153" s="9" t="str">
        <f t="shared" ca="1" si="15"/>
        <v>Blanqueadores</v>
      </c>
      <c r="C3153" s="33" t="s">
        <v>55</v>
      </c>
      <c r="D3153" s="8">
        <v>8</v>
      </c>
      <c r="E3153" s="11">
        <v>8142</v>
      </c>
      <c r="F3153" s="10">
        <f t="shared" ca="1" si="16"/>
        <v>65136</v>
      </c>
    </row>
    <row r="3154" spans="1:6" x14ac:dyDescent="0.25">
      <c r="A3154" s="8">
        <v>47101601</v>
      </c>
      <c r="B3154" s="9" t="str">
        <f t="shared" ca="1" si="15"/>
        <v>Alguicidas</v>
      </c>
      <c r="C3154" s="33" t="s">
        <v>55</v>
      </c>
      <c r="D3154" s="8">
        <v>20</v>
      </c>
      <c r="E3154" s="11">
        <v>2124</v>
      </c>
      <c r="F3154" s="10">
        <f t="shared" ca="1" si="16"/>
        <v>42480</v>
      </c>
    </row>
    <row r="3155" spans="1:6" x14ac:dyDescent="0.25">
      <c r="A3155" s="8">
        <v>47131807</v>
      </c>
      <c r="B3155" s="9" t="str">
        <f t="shared" ca="1" si="15"/>
        <v>Blanqueadores</v>
      </c>
      <c r="C3155" s="8" t="s">
        <v>92</v>
      </c>
      <c r="D3155" s="8">
        <v>35</v>
      </c>
      <c r="E3155" s="11">
        <v>1652</v>
      </c>
      <c r="F3155" s="10">
        <f t="shared" ca="1" si="16"/>
        <v>57820</v>
      </c>
    </row>
    <row r="3156" spans="1:6" x14ac:dyDescent="0.25">
      <c r="A3156" s="8">
        <v>40142501</v>
      </c>
      <c r="B3156" s="9" t="str">
        <f t="shared" ca="1" si="15"/>
        <v>Filtros (coladores) de líquido</v>
      </c>
      <c r="C3156" s="33" t="s">
        <v>55</v>
      </c>
      <c r="D3156" s="8">
        <v>2</v>
      </c>
      <c r="E3156" s="11">
        <v>1416</v>
      </c>
      <c r="F3156" s="10">
        <f t="shared" ca="1" si="16"/>
        <v>2832</v>
      </c>
    </row>
    <row r="3157" spans="1:6" x14ac:dyDescent="0.25">
      <c r="A3157" s="8">
        <v>24101511</v>
      </c>
      <c r="B3157" s="9" t="str">
        <f t="shared" ca="1" si="15"/>
        <v>Trolleys de estante</v>
      </c>
      <c r="C3157" s="33" t="s">
        <v>55</v>
      </c>
      <c r="D3157" s="8">
        <v>2</v>
      </c>
      <c r="E3157" s="11">
        <v>23128</v>
      </c>
      <c r="F3157" s="10">
        <f t="shared" ca="1" si="16"/>
        <v>46256</v>
      </c>
    </row>
    <row r="3158" spans="1:6" x14ac:dyDescent="0.25">
      <c r="A3158" s="8">
        <v>27112813</v>
      </c>
      <c r="B3158" s="9" t="str">
        <f t="shared" ca="1" si="15"/>
        <v>Vara de extensión</v>
      </c>
      <c r="C3158" s="33" t="s">
        <v>55</v>
      </c>
      <c r="D3158" s="8">
        <v>2</v>
      </c>
      <c r="E3158" s="11">
        <v>10127.6</v>
      </c>
      <c r="F3158" s="10">
        <f t="shared" ca="1" si="16"/>
        <v>20255.2</v>
      </c>
    </row>
    <row r="3159" spans="1:6" x14ac:dyDescent="0.25">
      <c r="A3159" s="8">
        <v>60104202</v>
      </c>
      <c r="B3159" s="9" t="str">
        <f t="shared" ca="1" si="15"/>
        <v>Kits de muestreo y pruebas del agua</v>
      </c>
      <c r="C3159" s="33" t="s">
        <v>55</v>
      </c>
      <c r="D3159" s="8">
        <v>2</v>
      </c>
      <c r="E3159" s="11">
        <v>1298</v>
      </c>
      <c r="F3159" s="10">
        <f t="shared" ca="1" si="16"/>
        <v>2596</v>
      </c>
    </row>
    <row r="3160" spans="1:6" x14ac:dyDescent="0.25">
      <c r="A3160" s="40"/>
      <c r="B3160" s="40"/>
      <c r="C3160" s="40"/>
      <c r="D3160" s="40"/>
      <c r="E3160" s="13" t="s">
        <v>87</v>
      </c>
      <c r="F3160" s="14">
        <f ca="1">SUM(Table3109[MONTO TOTAL ESTIMADO])</f>
        <v>925580.7</v>
      </c>
    </row>
    <row r="3161" spans="1:6" ht="15.75" thickBot="1" x14ac:dyDescent="0.3">
      <c r="A3161" s="42"/>
      <c r="B3161" s="42"/>
      <c r="C3161" s="42"/>
      <c r="D3161" s="42"/>
      <c r="E3161" s="42"/>
      <c r="F3161" s="42"/>
    </row>
    <row r="3162" spans="1:6" ht="23.25" thickBot="1" x14ac:dyDescent="0.3">
      <c r="A3162" s="4" t="s">
        <v>19</v>
      </c>
      <c r="B3162" s="4" t="s">
        <v>20</v>
      </c>
      <c r="C3162" s="4" t="s">
        <v>21</v>
      </c>
      <c r="D3162" s="4" t="s">
        <v>22</v>
      </c>
      <c r="E3162" s="4" t="s">
        <v>23</v>
      </c>
      <c r="F3162" s="4" t="s">
        <v>24</v>
      </c>
    </row>
    <row r="3163" spans="1:6" ht="15.75" thickBot="1" x14ac:dyDescent="0.3">
      <c r="A3163" s="32" t="s">
        <v>418</v>
      </c>
      <c r="B3163" s="32" t="s">
        <v>419</v>
      </c>
      <c r="C3163" s="32" t="s">
        <v>27</v>
      </c>
      <c r="D3163" s="6" t="s">
        <v>188</v>
      </c>
      <c r="E3163" s="6" t="s">
        <v>262</v>
      </c>
      <c r="F3163" s="6"/>
    </row>
    <row r="3164" spans="1:6" ht="15.75" thickBot="1" x14ac:dyDescent="0.3">
      <c r="A3164" s="35" t="s">
        <v>31</v>
      </c>
      <c r="B3164" s="7" t="s">
        <v>32</v>
      </c>
      <c r="C3164" s="15">
        <v>45383</v>
      </c>
      <c r="D3164" s="35" t="s">
        <v>33</v>
      </c>
      <c r="E3164" s="7" t="s">
        <v>34</v>
      </c>
      <c r="F3164" s="6"/>
    </row>
    <row r="3165" spans="1:6" ht="15.75" thickBot="1" x14ac:dyDescent="0.3">
      <c r="A3165" s="36"/>
      <c r="B3165" s="7" t="s">
        <v>36</v>
      </c>
      <c r="C3165" s="5">
        <f>IF(C3164="","",IF(AND(MONTH(C3164)&gt;=1,MONTH(C3164)&lt;=3),1,IF(AND(MONTH(C3164)&gt;=4,MONTH(C3164)&lt;=6),2,IF(AND(MONTH(C3164)&gt;=7,MONTH(C3164)&lt;=9),3,4))))</f>
        <v>2</v>
      </c>
      <c r="D3165" s="36"/>
      <c r="E3165" s="7" t="s">
        <v>37</v>
      </c>
      <c r="F3165" s="6"/>
    </row>
    <row r="3166" spans="1:6" ht="15.75" thickBot="1" x14ac:dyDescent="0.3">
      <c r="A3166" s="36"/>
      <c r="B3166" s="7" t="s">
        <v>39</v>
      </c>
      <c r="C3166" s="15">
        <v>45473</v>
      </c>
      <c r="D3166" s="36"/>
      <c r="E3166" s="7" t="s">
        <v>40</v>
      </c>
      <c r="F3166" s="6"/>
    </row>
    <row r="3167" spans="1:6" ht="15.75" thickBot="1" x14ac:dyDescent="0.3">
      <c r="A3167" s="36"/>
      <c r="B3167" s="7" t="s">
        <v>36</v>
      </c>
      <c r="C3167" s="5">
        <f>IF(C3166="","",IF(AND(MONTH(C3166)&gt;=1,MONTH(C3166)&lt;=3),1,IF(AND(MONTH(C3166)&gt;=4,MONTH(C3166)&lt;=6),2,IF(AND(MONTH(C3166)&gt;=7,MONTH(C3166)&lt;=9),3,4))))</f>
        <v>2</v>
      </c>
      <c r="D3167" s="36"/>
      <c r="E3167" s="7" t="s">
        <v>41</v>
      </c>
      <c r="F3167" s="6"/>
    </row>
    <row r="3168" spans="1:6" ht="15.75" thickBot="1" x14ac:dyDescent="0.3">
      <c r="A3168" s="40"/>
      <c r="B3168" s="40"/>
      <c r="C3168" s="40"/>
      <c r="D3168" s="40"/>
      <c r="E3168" s="40"/>
      <c r="F3168" s="40"/>
    </row>
    <row r="3169" spans="1:6" ht="15.75" thickBot="1" x14ac:dyDescent="0.3">
      <c r="A3169" s="12" t="s">
        <v>42</v>
      </c>
      <c r="B3169" s="12" t="s">
        <v>43</v>
      </c>
      <c r="C3169" s="12" t="s">
        <v>44</v>
      </c>
      <c r="D3169" s="12" t="s">
        <v>45</v>
      </c>
      <c r="E3169" s="12" t="s">
        <v>46</v>
      </c>
      <c r="F3169" s="12" t="s">
        <v>47</v>
      </c>
    </row>
    <row r="3170" spans="1:6" x14ac:dyDescent="0.25">
      <c r="A3170" s="8">
        <v>40161513</v>
      </c>
      <c r="B3170" s="9" t="str">
        <f ca="1">IFERROR(INDEX(UNSPSCDes,MATCH(INDIRECT(ADDRESS(ROW(),COLUMN()-1,4)),UNSPSCCode,0)),"")</f>
        <v>Filtros de combustible</v>
      </c>
      <c r="C3170" s="8" t="s">
        <v>55</v>
      </c>
      <c r="D3170" s="8">
        <v>10</v>
      </c>
      <c r="E3170" s="11">
        <v>2124</v>
      </c>
      <c r="F3170" s="10">
        <f ca="1">INDIRECT(ADDRESS(ROW(),COLUMN()-2,4))*INDIRECT(ADDRESS(ROW(),COLUMN()-1,4))</f>
        <v>21240</v>
      </c>
    </row>
    <row r="3171" spans="1:6" x14ac:dyDescent="0.25">
      <c r="A3171" s="40"/>
      <c r="B3171" s="40"/>
      <c r="C3171" s="40"/>
      <c r="D3171" s="40"/>
      <c r="E3171" s="13" t="s">
        <v>87</v>
      </c>
      <c r="F3171" s="14">
        <f ca="1">SUM(Table3110[MONTO TOTAL ESTIMADO])</f>
        <v>21240</v>
      </c>
    </row>
    <row r="3172" spans="1:6" ht="15.75" thickBot="1" x14ac:dyDescent="0.3">
      <c r="A3172" s="42"/>
      <c r="B3172" s="42"/>
      <c r="C3172" s="42"/>
      <c r="D3172" s="42"/>
      <c r="E3172" s="42"/>
      <c r="F3172" s="42"/>
    </row>
    <row r="3173" spans="1:6" ht="23.25" thickBot="1" x14ac:dyDescent="0.3">
      <c r="A3173" s="4" t="s">
        <v>19</v>
      </c>
      <c r="B3173" s="4" t="s">
        <v>20</v>
      </c>
      <c r="C3173" s="4" t="s">
        <v>21</v>
      </c>
      <c r="D3173" s="4" t="s">
        <v>22</v>
      </c>
      <c r="E3173" s="4" t="s">
        <v>23</v>
      </c>
      <c r="F3173" s="4" t="s">
        <v>24</v>
      </c>
    </row>
    <row r="3174" spans="1:6" ht="15.75" thickBot="1" x14ac:dyDescent="0.3">
      <c r="A3174" s="32" t="s">
        <v>420</v>
      </c>
      <c r="B3174" s="32" t="s">
        <v>421</v>
      </c>
      <c r="C3174" s="32" t="s">
        <v>27</v>
      </c>
      <c r="D3174" s="6" t="s">
        <v>188</v>
      </c>
      <c r="E3174" s="6" t="s">
        <v>262</v>
      </c>
      <c r="F3174" s="6"/>
    </row>
    <row r="3175" spans="1:6" ht="15.75" thickBot="1" x14ac:dyDescent="0.3">
      <c r="A3175" s="35" t="s">
        <v>31</v>
      </c>
      <c r="B3175" s="7" t="s">
        <v>32</v>
      </c>
      <c r="C3175" s="15">
        <v>45383</v>
      </c>
      <c r="D3175" s="35" t="s">
        <v>33</v>
      </c>
      <c r="E3175" s="7" t="s">
        <v>34</v>
      </c>
      <c r="F3175" s="6"/>
    </row>
    <row r="3176" spans="1:6" ht="15.75" thickBot="1" x14ac:dyDescent="0.3">
      <c r="A3176" s="36"/>
      <c r="B3176" s="7" t="s">
        <v>36</v>
      </c>
      <c r="C3176" s="5">
        <f>IF(C3175="","",IF(AND(MONTH(C3175)&gt;=1,MONTH(C3175)&lt;=3),1,IF(AND(MONTH(C3175)&gt;=4,MONTH(C3175)&lt;=6),2,IF(AND(MONTH(C3175)&gt;=7,MONTH(C3175)&lt;=9),3,4))))</f>
        <v>2</v>
      </c>
      <c r="D3176" s="36"/>
      <c r="E3176" s="7" t="s">
        <v>37</v>
      </c>
      <c r="F3176" s="6"/>
    </row>
    <row r="3177" spans="1:6" ht="15.75" thickBot="1" x14ac:dyDescent="0.3">
      <c r="A3177" s="36"/>
      <c r="B3177" s="7" t="s">
        <v>39</v>
      </c>
      <c r="C3177" s="15">
        <v>45473</v>
      </c>
      <c r="D3177" s="36"/>
      <c r="E3177" s="7" t="s">
        <v>40</v>
      </c>
      <c r="F3177" s="6"/>
    </row>
    <row r="3178" spans="1:6" ht="15.75" thickBot="1" x14ac:dyDescent="0.3">
      <c r="A3178" s="36"/>
      <c r="B3178" s="7" t="s">
        <v>36</v>
      </c>
      <c r="C3178" s="5">
        <f>IF(C3177="","",IF(AND(MONTH(C3177)&gt;=1,MONTH(C3177)&lt;=3),1,IF(AND(MONTH(C3177)&gt;=4,MONTH(C3177)&lt;=6),2,IF(AND(MONTH(C3177)&gt;=7,MONTH(C3177)&lt;=9),3,4))))</f>
        <v>2</v>
      </c>
      <c r="D3178" s="36"/>
      <c r="E3178" s="7" t="s">
        <v>41</v>
      </c>
      <c r="F3178" s="6"/>
    </row>
    <row r="3179" spans="1:6" ht="15.75" thickBot="1" x14ac:dyDescent="0.3">
      <c r="A3179" s="40"/>
      <c r="B3179" s="40"/>
      <c r="C3179" s="40"/>
      <c r="D3179" s="40"/>
      <c r="E3179" s="40"/>
      <c r="F3179" s="40"/>
    </row>
    <row r="3180" spans="1:6" ht="15.75" thickBot="1" x14ac:dyDescent="0.3">
      <c r="A3180" s="12" t="s">
        <v>42</v>
      </c>
      <c r="B3180" s="12" t="s">
        <v>43</v>
      </c>
      <c r="C3180" s="12" t="s">
        <v>44</v>
      </c>
      <c r="D3180" s="12" t="s">
        <v>45</v>
      </c>
      <c r="E3180" s="12" t="s">
        <v>46</v>
      </c>
      <c r="F3180" s="12" t="s">
        <v>47</v>
      </c>
    </row>
    <row r="3181" spans="1:6" x14ac:dyDescent="0.25">
      <c r="A3181" s="8">
        <v>13101723</v>
      </c>
      <c r="B3181" s="9" t="str">
        <f t="shared" ref="B3181:B3187" ca="1" si="17">IFERROR(INDEX(UNSPSCDes,MATCH(INDIRECT(ADDRESS(ROW(),COLUMN()-1,4)),UNSPSCCode,0)),"")</f>
        <v>Termoplástico</v>
      </c>
      <c r="C3181" s="8" t="s">
        <v>55</v>
      </c>
      <c r="D3181" s="8">
        <v>10</v>
      </c>
      <c r="E3181" s="11">
        <v>3120</v>
      </c>
      <c r="F3181" s="10">
        <f t="shared" ref="F3181:F3187" ca="1" si="18">INDIRECT(ADDRESS(ROW(),COLUMN()-2,4))*INDIRECT(ADDRESS(ROW(),COLUMN()-1,4))</f>
        <v>31200</v>
      </c>
    </row>
    <row r="3182" spans="1:6" x14ac:dyDescent="0.25">
      <c r="A3182" s="8">
        <v>13101723</v>
      </c>
      <c r="B3182" s="9" t="str">
        <f t="shared" ca="1" si="17"/>
        <v>Termoplástico</v>
      </c>
      <c r="C3182" s="33" t="s">
        <v>55</v>
      </c>
      <c r="D3182" s="8">
        <v>15</v>
      </c>
      <c r="E3182" s="11">
        <v>2022</v>
      </c>
      <c r="F3182" s="10">
        <f t="shared" ca="1" si="18"/>
        <v>30330</v>
      </c>
    </row>
    <row r="3183" spans="1:6" x14ac:dyDescent="0.25">
      <c r="A3183" s="8">
        <v>13101723</v>
      </c>
      <c r="B3183" s="9" t="str">
        <f t="shared" ca="1" si="17"/>
        <v>Termoplástico</v>
      </c>
      <c r="C3183" s="33" t="s">
        <v>55</v>
      </c>
      <c r="D3183" s="8">
        <v>30</v>
      </c>
      <c r="E3183" s="11">
        <v>870</v>
      </c>
      <c r="F3183" s="10">
        <f t="shared" ca="1" si="18"/>
        <v>26100</v>
      </c>
    </row>
    <row r="3184" spans="1:6" x14ac:dyDescent="0.25">
      <c r="A3184" s="8">
        <v>48101909</v>
      </c>
      <c r="B3184" s="9" t="str">
        <f t="shared" ca="1" si="17"/>
        <v>Teteras o cafeteras para servicio de comidas</v>
      </c>
      <c r="C3184" s="33" t="s">
        <v>55</v>
      </c>
      <c r="D3184" s="8">
        <v>20</v>
      </c>
      <c r="E3184" s="11">
        <v>1139.99</v>
      </c>
      <c r="F3184" s="10">
        <f t="shared" ca="1" si="18"/>
        <v>22799.8</v>
      </c>
    </row>
    <row r="3185" spans="1:6" x14ac:dyDescent="0.25">
      <c r="A3185" s="8">
        <v>52151704</v>
      </c>
      <c r="B3185" s="9" t="str">
        <f t="shared" ca="1" si="17"/>
        <v>Cucharas para uso doméstico</v>
      </c>
      <c r="C3185" s="33" t="s">
        <v>49</v>
      </c>
      <c r="D3185" s="8">
        <v>3</v>
      </c>
      <c r="E3185" s="11">
        <v>1176</v>
      </c>
      <c r="F3185" s="10">
        <f t="shared" ca="1" si="18"/>
        <v>3528</v>
      </c>
    </row>
    <row r="3186" spans="1:6" x14ac:dyDescent="0.25">
      <c r="A3186" s="8">
        <v>52121604</v>
      </c>
      <c r="B3186" s="9" t="str">
        <f t="shared" ca="1" si="17"/>
        <v>Manteles</v>
      </c>
      <c r="C3186" s="33" t="s">
        <v>55</v>
      </c>
      <c r="D3186" s="8">
        <v>10</v>
      </c>
      <c r="E3186" s="11">
        <v>720</v>
      </c>
      <c r="F3186" s="10">
        <f t="shared" ca="1" si="18"/>
        <v>7200</v>
      </c>
    </row>
    <row r="3187" spans="1:6" x14ac:dyDescent="0.25">
      <c r="A3187" s="8">
        <v>52152103</v>
      </c>
      <c r="B3187" s="9" t="str">
        <f t="shared" ca="1" si="17"/>
        <v>Tazones (“mugs”) para uso doméstico</v>
      </c>
      <c r="C3187" s="33" t="s">
        <v>55</v>
      </c>
      <c r="D3187" s="8">
        <v>10</v>
      </c>
      <c r="E3187" s="11">
        <v>863.99</v>
      </c>
      <c r="F3187" s="10">
        <f t="shared" ca="1" si="18"/>
        <v>8639.9</v>
      </c>
    </row>
    <row r="3188" spans="1:6" x14ac:dyDescent="0.25">
      <c r="A3188" s="40"/>
      <c r="B3188" s="40"/>
      <c r="C3188" s="40"/>
      <c r="D3188" s="40"/>
      <c r="E3188" s="13" t="s">
        <v>87</v>
      </c>
      <c r="F3188" s="14">
        <f ca="1">SUM(Table3111[MONTO TOTAL ESTIMADO])</f>
        <v>129797.7</v>
      </c>
    </row>
    <row r="3189" spans="1:6" ht="15.75" thickBot="1" x14ac:dyDescent="0.3">
      <c r="A3189" s="42"/>
      <c r="B3189" s="42"/>
      <c r="C3189" s="42"/>
      <c r="D3189" s="42"/>
      <c r="E3189" s="42"/>
      <c r="F3189" s="42"/>
    </row>
    <row r="3190" spans="1:6" ht="23.25" thickBot="1" x14ac:dyDescent="0.3">
      <c r="A3190" s="4" t="s">
        <v>19</v>
      </c>
      <c r="B3190" s="4" t="s">
        <v>20</v>
      </c>
      <c r="C3190" s="4" t="s">
        <v>21</v>
      </c>
      <c r="D3190" s="4" t="s">
        <v>22</v>
      </c>
      <c r="E3190" s="4" t="s">
        <v>23</v>
      </c>
      <c r="F3190" s="4" t="s">
        <v>24</v>
      </c>
    </row>
    <row r="3191" spans="1:6" ht="15.75" thickBot="1" x14ac:dyDescent="0.3">
      <c r="A3191" s="32" t="s">
        <v>427</v>
      </c>
      <c r="B3191" s="32" t="s">
        <v>225</v>
      </c>
      <c r="C3191" s="32" t="s">
        <v>27</v>
      </c>
      <c r="D3191" s="6" t="s">
        <v>28</v>
      </c>
      <c r="E3191" s="6" t="s">
        <v>262</v>
      </c>
      <c r="F3191" s="6"/>
    </row>
    <row r="3192" spans="1:6" ht="15.75" thickBot="1" x14ac:dyDescent="0.3">
      <c r="A3192" s="35" t="s">
        <v>31</v>
      </c>
      <c r="B3192" s="7" t="s">
        <v>32</v>
      </c>
      <c r="C3192" s="15">
        <v>45383</v>
      </c>
      <c r="D3192" s="35" t="s">
        <v>33</v>
      </c>
      <c r="E3192" s="7" t="s">
        <v>34</v>
      </c>
      <c r="F3192" s="6"/>
    </row>
    <row r="3193" spans="1:6" ht="15.75" thickBot="1" x14ac:dyDescent="0.3">
      <c r="A3193" s="36"/>
      <c r="B3193" s="7" t="s">
        <v>36</v>
      </c>
      <c r="C3193" s="5">
        <f>IF(C3192="","",IF(AND(MONTH(C3192)&gt;=1,MONTH(C3192)&lt;=3),1,IF(AND(MONTH(C3192)&gt;=4,MONTH(C3192)&lt;=6),2,IF(AND(MONTH(C3192)&gt;=7,MONTH(C3192)&lt;=9),3,4))))</f>
        <v>2</v>
      </c>
      <c r="D3193" s="36"/>
      <c r="E3193" s="7" t="s">
        <v>37</v>
      </c>
      <c r="F3193" s="6"/>
    </row>
    <row r="3194" spans="1:6" ht="15.75" thickBot="1" x14ac:dyDescent="0.3">
      <c r="A3194" s="36"/>
      <c r="B3194" s="7" t="s">
        <v>39</v>
      </c>
      <c r="C3194" s="15">
        <v>45473</v>
      </c>
      <c r="D3194" s="36"/>
      <c r="E3194" s="7" t="s">
        <v>40</v>
      </c>
      <c r="F3194" s="6"/>
    </row>
    <row r="3195" spans="1:6" ht="15.75" thickBot="1" x14ac:dyDescent="0.3">
      <c r="A3195" s="36"/>
      <c r="B3195" s="7" t="s">
        <v>36</v>
      </c>
      <c r="C3195" s="5">
        <f>IF(C3194="","",IF(AND(MONTH(C3194)&gt;=1,MONTH(C3194)&lt;=3),1,IF(AND(MONTH(C3194)&gt;=4,MONTH(C3194)&lt;=6),2,IF(AND(MONTH(C3194)&gt;=7,MONTH(C3194)&lt;=9),3,4))))</f>
        <v>2</v>
      </c>
      <c r="D3195" s="36"/>
      <c r="E3195" s="7" t="s">
        <v>41</v>
      </c>
      <c r="F3195" s="6"/>
    </row>
    <row r="3196" spans="1:6" ht="15.75" thickBot="1" x14ac:dyDescent="0.3">
      <c r="A3196" s="40"/>
      <c r="B3196" s="40"/>
      <c r="C3196" s="40"/>
      <c r="D3196" s="40"/>
      <c r="E3196" s="40"/>
      <c r="F3196" s="40"/>
    </row>
    <row r="3197" spans="1:6" ht="15.75" thickBot="1" x14ac:dyDescent="0.3">
      <c r="A3197" s="12" t="s">
        <v>42</v>
      </c>
      <c r="B3197" s="12" t="s">
        <v>43</v>
      </c>
      <c r="C3197" s="12" t="s">
        <v>44</v>
      </c>
      <c r="D3197" s="12" t="s">
        <v>45</v>
      </c>
      <c r="E3197" s="12" t="s">
        <v>46</v>
      </c>
      <c r="F3197" s="12" t="s">
        <v>47</v>
      </c>
    </row>
    <row r="3198" spans="1:6" x14ac:dyDescent="0.25">
      <c r="A3198" s="8">
        <v>44121615</v>
      </c>
      <c r="B3198" s="9" t="str">
        <f t="shared" ref="B3198:B3221" ca="1" si="19">IFERROR(INDEX(UNSPSCDes,MATCH(INDIRECT(ADDRESS(ROW(),COLUMN()-1,4)),UNSPSCCode,0)),"")</f>
        <v>Grapadoras</v>
      </c>
      <c r="C3198" s="33" t="s">
        <v>55</v>
      </c>
      <c r="D3198" s="8">
        <v>60</v>
      </c>
      <c r="E3198" s="11">
        <v>147.5</v>
      </c>
      <c r="F3198" s="10">
        <f t="shared" ref="F3198:F3221" ca="1" si="20">INDIRECT(ADDRESS(ROW(),COLUMN()-2,4))*INDIRECT(ADDRESS(ROW(),COLUMN()-1,4))</f>
        <v>8850</v>
      </c>
    </row>
    <row r="3199" spans="1:6" x14ac:dyDescent="0.25">
      <c r="A3199" s="8">
        <v>44121613</v>
      </c>
      <c r="B3199" s="9" t="str">
        <f t="shared" ca="1" si="19"/>
        <v>Removedores de grapas (saca ganchos)</v>
      </c>
      <c r="C3199" s="33" t="s">
        <v>55</v>
      </c>
      <c r="D3199" s="8">
        <v>60</v>
      </c>
      <c r="E3199" s="11">
        <v>30.68</v>
      </c>
      <c r="F3199" s="10">
        <f t="shared" ca="1" si="20"/>
        <v>1840.8</v>
      </c>
    </row>
    <row r="3200" spans="1:6" x14ac:dyDescent="0.25">
      <c r="A3200" s="8">
        <v>44122104</v>
      </c>
      <c r="B3200" s="9" t="str">
        <f t="shared" ca="1" si="19"/>
        <v>Clips para papel</v>
      </c>
      <c r="C3200" s="8" t="s">
        <v>49</v>
      </c>
      <c r="D3200" s="8">
        <v>120</v>
      </c>
      <c r="E3200" s="11">
        <v>18.88</v>
      </c>
      <c r="F3200" s="10">
        <f t="shared" ca="1" si="20"/>
        <v>2265.6</v>
      </c>
    </row>
    <row r="3201" spans="1:6" x14ac:dyDescent="0.25">
      <c r="A3201" s="8">
        <v>44122104</v>
      </c>
      <c r="B3201" s="9" t="str">
        <f t="shared" ca="1" si="19"/>
        <v>Clips para papel</v>
      </c>
      <c r="C3201" s="33" t="s">
        <v>49</v>
      </c>
      <c r="D3201" s="8">
        <v>120</v>
      </c>
      <c r="E3201" s="11">
        <v>41.3</v>
      </c>
      <c r="F3201" s="10">
        <f t="shared" ca="1" si="20"/>
        <v>4956</v>
      </c>
    </row>
    <row r="3202" spans="1:6" x14ac:dyDescent="0.25">
      <c r="A3202" s="8">
        <v>44121701</v>
      </c>
      <c r="B3202" s="9" t="str">
        <f t="shared" ca="1" si="19"/>
        <v>Bolígrafos</v>
      </c>
      <c r="C3202" s="33" t="s">
        <v>49</v>
      </c>
      <c r="D3202" s="8">
        <v>60</v>
      </c>
      <c r="E3202" s="11">
        <v>72</v>
      </c>
      <c r="F3202" s="10">
        <f t="shared" ca="1" si="20"/>
        <v>4320</v>
      </c>
    </row>
    <row r="3203" spans="1:6" x14ac:dyDescent="0.25">
      <c r="A3203" s="8">
        <v>14111507</v>
      </c>
      <c r="B3203" s="9" t="str">
        <f t="shared" ca="1" si="19"/>
        <v>Papel para impresora o fotocopiadora</v>
      </c>
      <c r="C3203" s="8" t="s">
        <v>51</v>
      </c>
      <c r="D3203" s="8">
        <v>120</v>
      </c>
      <c r="E3203" s="11">
        <v>344.5</v>
      </c>
      <c r="F3203" s="10">
        <f t="shared" ca="1" si="20"/>
        <v>41340</v>
      </c>
    </row>
    <row r="3204" spans="1:6" x14ac:dyDescent="0.25">
      <c r="A3204" s="8">
        <v>14111507</v>
      </c>
      <c r="B3204" s="9" t="str">
        <f t="shared" ca="1" si="19"/>
        <v>Papel para impresora o fotocopiadora</v>
      </c>
      <c r="C3204" s="33" t="s">
        <v>51</v>
      </c>
      <c r="D3204" s="8">
        <v>480</v>
      </c>
      <c r="E3204" s="11">
        <v>226.56</v>
      </c>
      <c r="F3204" s="10">
        <f t="shared" ca="1" si="20"/>
        <v>108748.8</v>
      </c>
    </row>
    <row r="3205" spans="1:6" x14ac:dyDescent="0.25">
      <c r="A3205" s="8">
        <v>44121506</v>
      </c>
      <c r="B3205" s="9" t="str">
        <f t="shared" ca="1" si="19"/>
        <v>Sobres estándar</v>
      </c>
      <c r="C3205" s="33" t="s">
        <v>49</v>
      </c>
      <c r="D3205" s="8">
        <v>240</v>
      </c>
      <c r="E3205" s="11">
        <v>3304</v>
      </c>
      <c r="F3205" s="10">
        <f t="shared" ca="1" si="20"/>
        <v>792960</v>
      </c>
    </row>
    <row r="3206" spans="1:6" x14ac:dyDescent="0.25">
      <c r="A3206" s="8">
        <v>44121506</v>
      </c>
      <c r="B3206" s="9" t="str">
        <f t="shared" ca="1" si="19"/>
        <v>Sobres estándar</v>
      </c>
      <c r="C3206" s="33" t="s">
        <v>49</v>
      </c>
      <c r="D3206" s="8">
        <v>60</v>
      </c>
      <c r="E3206" s="11">
        <v>3037.32</v>
      </c>
      <c r="F3206" s="10">
        <f t="shared" ca="1" si="20"/>
        <v>182239.2</v>
      </c>
    </row>
    <row r="3207" spans="1:6" x14ac:dyDescent="0.25">
      <c r="A3207" s="8">
        <v>44121506</v>
      </c>
      <c r="B3207" s="9" t="str">
        <f t="shared" ca="1" si="19"/>
        <v>Sobres estándar</v>
      </c>
      <c r="C3207" s="33" t="s">
        <v>49</v>
      </c>
      <c r="D3207" s="8">
        <v>60</v>
      </c>
      <c r="E3207" s="11">
        <v>2676.24</v>
      </c>
      <c r="F3207" s="10">
        <f t="shared" ca="1" si="20"/>
        <v>160574.39999999999</v>
      </c>
    </row>
    <row r="3208" spans="1:6" x14ac:dyDescent="0.25">
      <c r="A3208" s="8">
        <v>44122011</v>
      </c>
      <c r="B3208" s="9" t="str">
        <f t="shared" ca="1" si="19"/>
        <v>Folders</v>
      </c>
      <c r="C3208" s="33" t="s">
        <v>49</v>
      </c>
      <c r="D3208" s="8">
        <v>120</v>
      </c>
      <c r="E3208" s="11">
        <v>254.88</v>
      </c>
      <c r="F3208" s="10">
        <f t="shared" ca="1" si="20"/>
        <v>30585.599999999999</v>
      </c>
    </row>
    <row r="3209" spans="1:6" x14ac:dyDescent="0.25">
      <c r="A3209" s="8">
        <v>14111807</v>
      </c>
      <c r="B3209" s="9" t="str">
        <f t="shared" ca="1" si="19"/>
        <v>Libros comerciales para múltiples usos</v>
      </c>
      <c r="C3209" s="33" t="s">
        <v>55</v>
      </c>
      <c r="D3209" s="8">
        <v>60</v>
      </c>
      <c r="E3209" s="11">
        <v>230.1</v>
      </c>
      <c r="F3209" s="10">
        <f t="shared" ca="1" si="20"/>
        <v>13806</v>
      </c>
    </row>
    <row r="3210" spans="1:6" x14ac:dyDescent="0.25">
      <c r="A3210" s="8">
        <v>14111526</v>
      </c>
      <c r="B3210" s="9" t="str">
        <f t="shared" ca="1" si="19"/>
        <v>Papel libretas o libros de mensajes telefónicos</v>
      </c>
      <c r="C3210" s="33" t="s">
        <v>55</v>
      </c>
      <c r="D3210" s="8">
        <v>120</v>
      </c>
      <c r="E3210" s="11">
        <v>30.68</v>
      </c>
      <c r="F3210" s="10">
        <f t="shared" ca="1" si="20"/>
        <v>3681.6</v>
      </c>
    </row>
    <row r="3211" spans="1:6" x14ac:dyDescent="0.25">
      <c r="A3211" s="8">
        <v>14111526</v>
      </c>
      <c r="B3211" s="9" t="str">
        <f t="shared" ca="1" si="19"/>
        <v>Papel libretas o libros de mensajes telefónicos</v>
      </c>
      <c r="C3211" s="33" t="s">
        <v>55</v>
      </c>
      <c r="D3211" s="8">
        <v>120</v>
      </c>
      <c r="E3211" s="11">
        <v>18.88</v>
      </c>
      <c r="F3211" s="10">
        <f t="shared" ca="1" si="20"/>
        <v>2265.6</v>
      </c>
    </row>
    <row r="3212" spans="1:6" x14ac:dyDescent="0.25">
      <c r="A3212" s="8">
        <v>14111514</v>
      </c>
      <c r="B3212" s="9" t="str">
        <f t="shared" ca="1" si="19"/>
        <v>Blocs o cuadernos de papel</v>
      </c>
      <c r="C3212" s="33" t="s">
        <v>55</v>
      </c>
      <c r="D3212" s="8">
        <v>240</v>
      </c>
      <c r="E3212" s="11">
        <v>46.02</v>
      </c>
      <c r="F3212" s="10">
        <f t="shared" ca="1" si="20"/>
        <v>11044.800000000001</v>
      </c>
    </row>
    <row r="3213" spans="1:6" x14ac:dyDescent="0.25">
      <c r="A3213" s="8">
        <v>44121708</v>
      </c>
      <c r="B3213" s="9" t="str">
        <f t="shared" ca="1" si="19"/>
        <v>Marcadores</v>
      </c>
      <c r="C3213" s="33" t="s">
        <v>55</v>
      </c>
      <c r="D3213" s="8">
        <v>180</v>
      </c>
      <c r="E3213" s="11">
        <v>12.98</v>
      </c>
      <c r="F3213" s="10">
        <f t="shared" ca="1" si="20"/>
        <v>2336.4</v>
      </c>
    </row>
    <row r="3214" spans="1:6" x14ac:dyDescent="0.25">
      <c r="A3214" s="8">
        <v>44121708</v>
      </c>
      <c r="B3214" s="9" t="str">
        <f t="shared" ca="1" si="19"/>
        <v>Marcadores</v>
      </c>
      <c r="C3214" s="33" t="s">
        <v>55</v>
      </c>
      <c r="D3214" s="8">
        <v>300</v>
      </c>
      <c r="E3214" s="11">
        <v>22.42</v>
      </c>
      <c r="F3214" s="10">
        <f t="shared" ca="1" si="20"/>
        <v>6726.0000000000009</v>
      </c>
    </row>
    <row r="3215" spans="1:6" x14ac:dyDescent="0.25">
      <c r="A3215" s="8">
        <v>44121804</v>
      </c>
      <c r="B3215" s="9" t="str">
        <f t="shared" ca="1" si="19"/>
        <v>Borradores</v>
      </c>
      <c r="C3215" s="33" t="s">
        <v>55</v>
      </c>
      <c r="D3215" s="8">
        <v>80</v>
      </c>
      <c r="E3215" s="11">
        <v>37.76</v>
      </c>
      <c r="F3215" s="10">
        <f t="shared" ca="1" si="20"/>
        <v>3020.7999999999997</v>
      </c>
    </row>
    <row r="3216" spans="1:6" x14ac:dyDescent="0.25">
      <c r="A3216" s="8">
        <v>31201512</v>
      </c>
      <c r="B3216" s="9" t="str">
        <f t="shared" ca="1" si="19"/>
        <v>Cinta transparente</v>
      </c>
      <c r="C3216" s="33" t="s">
        <v>55</v>
      </c>
      <c r="D3216" s="8">
        <v>120</v>
      </c>
      <c r="E3216" s="11">
        <v>11.59</v>
      </c>
      <c r="F3216" s="10">
        <f t="shared" ca="1" si="20"/>
        <v>1390.8</v>
      </c>
    </row>
    <row r="3217" spans="1:6" x14ac:dyDescent="0.25">
      <c r="A3217" s="8">
        <v>31201512</v>
      </c>
      <c r="B3217" s="9" t="str">
        <f t="shared" ca="1" si="19"/>
        <v>Cinta transparente</v>
      </c>
      <c r="C3217" s="33" t="s">
        <v>55</v>
      </c>
      <c r="D3217" s="8">
        <v>120</v>
      </c>
      <c r="E3217" s="11">
        <v>59</v>
      </c>
      <c r="F3217" s="10">
        <f t="shared" ca="1" si="20"/>
        <v>7080</v>
      </c>
    </row>
    <row r="3218" spans="1:6" x14ac:dyDescent="0.25">
      <c r="A3218" s="8">
        <v>44122101</v>
      </c>
      <c r="B3218" s="9" t="str">
        <f t="shared" ca="1" si="19"/>
        <v>Cauchos</v>
      </c>
      <c r="C3218" s="33" t="s">
        <v>49</v>
      </c>
      <c r="D3218" s="8">
        <v>60</v>
      </c>
      <c r="E3218" s="11">
        <v>28.32</v>
      </c>
      <c r="F3218" s="10">
        <f t="shared" ca="1" si="20"/>
        <v>1699.2</v>
      </c>
    </row>
    <row r="3219" spans="1:6" x14ac:dyDescent="0.25">
      <c r="A3219" s="8">
        <v>44121802</v>
      </c>
      <c r="B3219" s="9" t="str">
        <f t="shared" ca="1" si="19"/>
        <v>Fluido de corrección</v>
      </c>
      <c r="C3219" s="33" t="s">
        <v>55</v>
      </c>
      <c r="D3219" s="8">
        <v>50</v>
      </c>
      <c r="E3219" s="11">
        <v>24.78</v>
      </c>
      <c r="F3219" s="10">
        <f t="shared" ca="1" si="20"/>
        <v>1239</v>
      </c>
    </row>
    <row r="3220" spans="1:6" x14ac:dyDescent="0.25">
      <c r="A3220" s="8">
        <v>44122105</v>
      </c>
      <c r="B3220" s="9" t="str">
        <f t="shared" ca="1" si="19"/>
        <v>Clips para carpetas o bulldog</v>
      </c>
      <c r="C3220" s="33" t="s">
        <v>49</v>
      </c>
      <c r="D3220" s="8">
        <v>36</v>
      </c>
      <c r="E3220" s="11">
        <v>68.44</v>
      </c>
      <c r="F3220" s="10">
        <f t="shared" ca="1" si="20"/>
        <v>2463.84</v>
      </c>
    </row>
    <row r="3221" spans="1:6" x14ac:dyDescent="0.25">
      <c r="A3221" s="8">
        <v>44101603</v>
      </c>
      <c r="B3221" s="9" t="str">
        <f t="shared" ca="1" si="19"/>
        <v>Máquinas trituradoras de papel o accesorios</v>
      </c>
      <c r="C3221" s="33" t="s">
        <v>55</v>
      </c>
      <c r="D3221" s="8">
        <v>2</v>
      </c>
      <c r="E3221" s="11">
        <v>27268.62</v>
      </c>
      <c r="F3221" s="10">
        <f t="shared" ca="1" si="20"/>
        <v>54537.24</v>
      </c>
    </row>
    <row r="3222" spans="1:6" x14ac:dyDescent="0.25">
      <c r="A3222" s="40"/>
      <c r="B3222" s="40"/>
      <c r="C3222" s="40"/>
      <c r="D3222" s="40"/>
      <c r="E3222" s="13" t="s">
        <v>87</v>
      </c>
      <c r="F3222" s="14">
        <f ca="1">SUM(Table3112[MONTO TOTAL ESTIMADO])</f>
        <v>1449971.6800000002</v>
      </c>
    </row>
    <row r="3223" spans="1:6" ht="15.75" thickBot="1" x14ac:dyDescent="0.3">
      <c r="A3223" s="42"/>
      <c r="B3223" s="42"/>
      <c r="C3223" s="42"/>
      <c r="D3223" s="42"/>
      <c r="E3223" s="42"/>
      <c r="F3223" s="42"/>
    </row>
    <row r="3224" spans="1:6" ht="23.25" thickBot="1" x14ac:dyDescent="0.3">
      <c r="A3224" s="4" t="s">
        <v>19</v>
      </c>
      <c r="B3224" s="4" t="s">
        <v>20</v>
      </c>
      <c r="C3224" s="4" t="s">
        <v>21</v>
      </c>
      <c r="D3224" s="4" t="s">
        <v>22</v>
      </c>
      <c r="E3224" s="4" t="s">
        <v>23</v>
      </c>
      <c r="F3224" s="4" t="s">
        <v>24</v>
      </c>
    </row>
    <row r="3225" spans="1:6" ht="15.75" thickBot="1" x14ac:dyDescent="0.3">
      <c r="A3225" s="32" t="s">
        <v>434</v>
      </c>
      <c r="B3225" s="32" t="s">
        <v>435</v>
      </c>
      <c r="C3225" s="32" t="s">
        <v>27</v>
      </c>
      <c r="D3225" s="6" t="s">
        <v>28</v>
      </c>
      <c r="E3225" s="6" t="s">
        <v>262</v>
      </c>
      <c r="F3225" s="6"/>
    </row>
    <row r="3226" spans="1:6" ht="15.75" thickBot="1" x14ac:dyDescent="0.3">
      <c r="A3226" s="35" t="s">
        <v>31</v>
      </c>
      <c r="B3226" s="7" t="s">
        <v>32</v>
      </c>
      <c r="C3226" s="15">
        <v>45383</v>
      </c>
      <c r="D3226" s="35" t="s">
        <v>33</v>
      </c>
      <c r="E3226" s="7" t="s">
        <v>34</v>
      </c>
      <c r="F3226" s="6"/>
    </row>
    <row r="3227" spans="1:6" ht="15.75" thickBot="1" x14ac:dyDescent="0.3">
      <c r="A3227" s="36"/>
      <c r="B3227" s="7" t="s">
        <v>36</v>
      </c>
      <c r="C3227" s="5">
        <f>IF(C3226="","",IF(AND(MONTH(C3226)&gt;=1,MONTH(C3226)&lt;=3),1,IF(AND(MONTH(C3226)&gt;=4,MONTH(C3226)&lt;=6),2,IF(AND(MONTH(C3226)&gt;=7,MONTH(C3226)&lt;=9),3,4))))</f>
        <v>2</v>
      </c>
      <c r="D3227" s="36"/>
      <c r="E3227" s="7" t="s">
        <v>37</v>
      </c>
      <c r="F3227" s="6"/>
    </row>
    <row r="3228" spans="1:6" ht="15.75" thickBot="1" x14ac:dyDescent="0.3">
      <c r="A3228" s="36"/>
      <c r="B3228" s="7" t="s">
        <v>39</v>
      </c>
      <c r="C3228" s="15">
        <v>45473</v>
      </c>
      <c r="D3228" s="36"/>
      <c r="E3228" s="7" t="s">
        <v>40</v>
      </c>
      <c r="F3228" s="6"/>
    </row>
    <row r="3229" spans="1:6" ht="15.75" thickBot="1" x14ac:dyDescent="0.3">
      <c r="A3229" s="36"/>
      <c r="B3229" s="7" t="s">
        <v>36</v>
      </c>
      <c r="C3229" s="5">
        <f>IF(C3228="","",IF(AND(MONTH(C3228)&gt;=1,MONTH(C3228)&lt;=3),1,IF(AND(MONTH(C3228)&gt;=4,MONTH(C3228)&lt;=6),2,IF(AND(MONTH(C3228)&gt;=7,MONTH(C3228)&lt;=9),3,4))))</f>
        <v>2</v>
      </c>
      <c r="D3229" s="36"/>
      <c r="E3229" s="7" t="s">
        <v>41</v>
      </c>
      <c r="F3229" s="6"/>
    </row>
    <row r="3230" spans="1:6" ht="15.75" thickBot="1" x14ac:dyDescent="0.3">
      <c r="A3230" s="40"/>
      <c r="B3230" s="40"/>
      <c r="C3230" s="40"/>
      <c r="D3230" s="40"/>
      <c r="E3230" s="40"/>
      <c r="F3230" s="40"/>
    </row>
    <row r="3231" spans="1:6" ht="15.75" thickBot="1" x14ac:dyDescent="0.3">
      <c r="A3231" s="12" t="s">
        <v>42</v>
      </c>
      <c r="B3231" s="12" t="s">
        <v>43</v>
      </c>
      <c r="C3231" s="12" t="s">
        <v>44</v>
      </c>
      <c r="D3231" s="12" t="s">
        <v>45</v>
      </c>
      <c r="E3231" s="12" t="s">
        <v>46</v>
      </c>
      <c r="F3231" s="12" t="s">
        <v>47</v>
      </c>
    </row>
    <row r="3232" spans="1:6" x14ac:dyDescent="0.25">
      <c r="A3232" s="8">
        <v>40161502</v>
      </c>
      <c r="B3232" s="9" t="str">
        <f ca="1">IFERROR(INDEX(UNSPSCDes,MATCH(INDIRECT(ADDRESS(ROW(),COLUMN()-1,4)),UNSPSCCode,0)),"")</f>
        <v>Filtros de agua</v>
      </c>
      <c r="C3232" s="8" t="s">
        <v>55</v>
      </c>
      <c r="D3232" s="8">
        <v>50</v>
      </c>
      <c r="E3232" s="11">
        <v>259.60000000000002</v>
      </c>
      <c r="F3232" s="10">
        <f ca="1">INDIRECT(ADDRESS(ROW(),COLUMN()-2,4))*INDIRECT(ADDRESS(ROW(),COLUMN()-1,4))</f>
        <v>12980.000000000002</v>
      </c>
    </row>
    <row r="3233" spans="1:6" x14ac:dyDescent="0.25">
      <c r="A3233" s="8">
        <v>40161505</v>
      </c>
      <c r="B3233" s="9" t="str">
        <f ca="1">IFERROR(INDEX(UNSPSCDes,MATCH(INDIRECT(ADDRESS(ROW(),COLUMN()-1,4)),UNSPSCCode,0)),"")</f>
        <v>Filtros de aire</v>
      </c>
      <c r="C3233" s="33" t="s">
        <v>55</v>
      </c>
      <c r="D3233" s="8">
        <v>4</v>
      </c>
      <c r="E3233" s="11">
        <v>18946.080000000002</v>
      </c>
      <c r="F3233" s="10">
        <f ca="1">INDIRECT(ADDRESS(ROW(),COLUMN()-2,4))*INDIRECT(ADDRESS(ROW(),COLUMN()-1,4))</f>
        <v>75784.320000000007</v>
      </c>
    </row>
    <row r="3234" spans="1:6" x14ac:dyDescent="0.25">
      <c r="A3234" s="8">
        <v>40161504</v>
      </c>
      <c r="B3234" s="9" t="str">
        <f ca="1">IFERROR(INDEX(UNSPSCDes,MATCH(INDIRECT(ADDRESS(ROW(),COLUMN()-1,4)),UNSPSCCode,0)),"")</f>
        <v>Filtros de aceite</v>
      </c>
      <c r="C3234" s="33" t="s">
        <v>55</v>
      </c>
      <c r="D3234" s="8">
        <v>50</v>
      </c>
      <c r="E3234" s="11">
        <v>1416</v>
      </c>
      <c r="F3234" s="10">
        <f ca="1">INDIRECT(ADDRESS(ROW(),COLUMN()-2,4))*INDIRECT(ADDRESS(ROW(),COLUMN()-1,4))</f>
        <v>70800</v>
      </c>
    </row>
    <row r="3235" spans="1:6" x14ac:dyDescent="0.25">
      <c r="A3235" s="8">
        <v>15121501</v>
      </c>
      <c r="B3235" s="9" t="str">
        <f ca="1">IFERROR(INDEX(UNSPSCDes,MATCH(INDIRECT(ADDRESS(ROW(),COLUMN()-1,4)),UNSPSCCode,0)),"")</f>
        <v>Aceite motor</v>
      </c>
      <c r="C3235" s="33" t="s">
        <v>55</v>
      </c>
      <c r="D3235" s="8">
        <v>15</v>
      </c>
      <c r="E3235" s="11">
        <v>49560</v>
      </c>
      <c r="F3235" s="10">
        <f ca="1">INDIRECT(ADDRESS(ROW(),COLUMN()-2,4))*INDIRECT(ADDRESS(ROW(),COLUMN()-1,4))</f>
        <v>743400</v>
      </c>
    </row>
    <row r="3236" spans="1:6" x14ac:dyDescent="0.25">
      <c r="A3236" s="8">
        <v>40151506</v>
      </c>
      <c r="B3236" s="9" t="str">
        <f ca="1">IFERROR(INDEX(UNSPSCDes,MATCH(INDIRECT(ADDRESS(ROW(),COLUMN()-1,4)),UNSPSCCode,0)),"")</f>
        <v>Bombas de mano</v>
      </c>
      <c r="C3236" s="33" t="s">
        <v>55</v>
      </c>
      <c r="D3236" s="8">
        <v>2</v>
      </c>
      <c r="E3236" s="11">
        <v>7708.94</v>
      </c>
      <c r="F3236" s="10">
        <f ca="1">INDIRECT(ADDRESS(ROW(),COLUMN()-2,4))*INDIRECT(ADDRESS(ROW(),COLUMN()-1,4))</f>
        <v>15417.88</v>
      </c>
    </row>
    <row r="3237" spans="1:6" x14ac:dyDescent="0.25">
      <c r="A3237" s="40"/>
      <c r="B3237" s="40"/>
      <c r="C3237" s="40"/>
      <c r="D3237" s="40"/>
      <c r="E3237" s="13" t="s">
        <v>87</v>
      </c>
      <c r="F3237" s="14">
        <f ca="1">SUM(Table3113[MONTO TOTAL ESTIMADO])</f>
        <v>918382.20000000007</v>
      </c>
    </row>
    <row r="3238" spans="1:6" ht="15.75" thickBot="1" x14ac:dyDescent="0.3">
      <c r="A3238" s="42"/>
      <c r="B3238" s="42"/>
      <c r="C3238" s="42"/>
      <c r="D3238" s="42"/>
      <c r="E3238" s="42"/>
      <c r="F3238" s="42"/>
    </row>
    <row r="3239" spans="1:6" ht="23.25" thickBot="1" x14ac:dyDescent="0.3">
      <c r="A3239" s="4" t="s">
        <v>19</v>
      </c>
      <c r="B3239" s="4" t="s">
        <v>20</v>
      </c>
      <c r="C3239" s="4" t="s">
        <v>21</v>
      </c>
      <c r="D3239" s="4" t="s">
        <v>22</v>
      </c>
      <c r="E3239" s="4" t="s">
        <v>23</v>
      </c>
      <c r="F3239" s="4" t="s">
        <v>24</v>
      </c>
    </row>
    <row r="3240" spans="1:6" ht="15.75" thickBot="1" x14ac:dyDescent="0.3">
      <c r="A3240" s="32" t="s">
        <v>439</v>
      </c>
      <c r="B3240" s="32" t="s">
        <v>440</v>
      </c>
      <c r="C3240" s="32" t="s">
        <v>27</v>
      </c>
      <c r="D3240" s="6" t="s">
        <v>28</v>
      </c>
      <c r="E3240" s="6" t="s">
        <v>262</v>
      </c>
      <c r="F3240" s="6"/>
    </row>
    <row r="3241" spans="1:6" ht="15.75" thickBot="1" x14ac:dyDescent="0.3">
      <c r="A3241" s="35" t="s">
        <v>31</v>
      </c>
      <c r="B3241" s="7" t="s">
        <v>32</v>
      </c>
      <c r="C3241" s="15">
        <v>45383</v>
      </c>
      <c r="D3241" s="35" t="s">
        <v>33</v>
      </c>
      <c r="E3241" s="7" t="s">
        <v>34</v>
      </c>
      <c r="F3241" s="6"/>
    </row>
    <row r="3242" spans="1:6" ht="15.75" thickBot="1" x14ac:dyDescent="0.3">
      <c r="A3242" s="36"/>
      <c r="B3242" s="7" t="s">
        <v>36</v>
      </c>
      <c r="C3242" s="5">
        <f>IF(C3241="","",IF(AND(MONTH(C3241)&gt;=1,MONTH(C3241)&lt;=3),1,IF(AND(MONTH(C3241)&gt;=4,MONTH(C3241)&lt;=6),2,IF(AND(MONTH(C3241)&gt;=7,MONTH(C3241)&lt;=9),3,4))))</f>
        <v>2</v>
      </c>
      <c r="D3242" s="36"/>
      <c r="E3242" s="7" t="s">
        <v>37</v>
      </c>
      <c r="F3242" s="6"/>
    </row>
    <row r="3243" spans="1:6" ht="15.75" thickBot="1" x14ac:dyDescent="0.3">
      <c r="A3243" s="36"/>
      <c r="B3243" s="7" t="s">
        <v>39</v>
      </c>
      <c r="C3243" s="15">
        <v>45473</v>
      </c>
      <c r="D3243" s="36"/>
      <c r="E3243" s="7" t="s">
        <v>40</v>
      </c>
      <c r="F3243" s="6"/>
    </row>
    <row r="3244" spans="1:6" ht="15.75" thickBot="1" x14ac:dyDescent="0.3">
      <c r="A3244" s="36"/>
      <c r="B3244" s="7" t="s">
        <v>36</v>
      </c>
      <c r="C3244" s="5">
        <f>IF(C3243="","",IF(AND(MONTH(C3243)&gt;=1,MONTH(C3243)&lt;=3),1,IF(AND(MONTH(C3243)&gt;=4,MONTH(C3243)&lt;=6),2,IF(AND(MONTH(C3243)&gt;=7,MONTH(C3243)&lt;=9),3,4))))</f>
        <v>2</v>
      </c>
      <c r="D3244" s="36"/>
      <c r="E3244" s="7" t="s">
        <v>41</v>
      </c>
      <c r="F3244" s="6"/>
    </row>
    <row r="3245" spans="1:6" ht="15.75" thickBot="1" x14ac:dyDescent="0.3">
      <c r="A3245" s="40"/>
      <c r="B3245" s="40"/>
      <c r="C3245" s="40"/>
      <c r="D3245" s="40"/>
      <c r="E3245" s="40"/>
      <c r="F3245" s="40"/>
    </row>
    <row r="3246" spans="1:6" ht="15.75" thickBot="1" x14ac:dyDescent="0.3">
      <c r="A3246" s="12" t="s">
        <v>42</v>
      </c>
      <c r="B3246" s="12" t="s">
        <v>43</v>
      </c>
      <c r="C3246" s="12" t="s">
        <v>44</v>
      </c>
      <c r="D3246" s="12" t="s">
        <v>45</v>
      </c>
      <c r="E3246" s="12" t="s">
        <v>46</v>
      </c>
      <c r="F3246" s="12" t="s">
        <v>47</v>
      </c>
    </row>
    <row r="3247" spans="1:6" x14ac:dyDescent="0.25">
      <c r="A3247" s="8">
        <v>47121806</v>
      </c>
      <c r="B3247" s="9" t="str">
        <f ca="1">IFERROR(INDEX(UNSPSCDes,MATCH(INDIRECT(ADDRESS(ROW(),COLUMN()-1,4)),UNSPSCCode,0)),"")</f>
        <v>Escurridor de trapero</v>
      </c>
      <c r="C3247" s="8" t="s">
        <v>55</v>
      </c>
      <c r="D3247" s="8">
        <v>50</v>
      </c>
      <c r="E3247" s="11">
        <v>3481</v>
      </c>
      <c r="F3247" s="10">
        <f ca="1">INDIRECT(ADDRESS(ROW(),COLUMN()-2,4))*INDIRECT(ADDRESS(ROW(),COLUMN()-1,4))</f>
        <v>174050</v>
      </c>
    </row>
    <row r="3248" spans="1:6" x14ac:dyDescent="0.25">
      <c r="A3248" s="8">
        <v>47121806</v>
      </c>
      <c r="B3248" s="9" t="str">
        <f ca="1">IFERROR(INDEX(UNSPSCDes,MATCH(INDIRECT(ADDRESS(ROW(),COLUMN()-1,4)),UNSPSCCode,0)),"")</f>
        <v>Escurridor de trapero</v>
      </c>
      <c r="C3248" s="33" t="s">
        <v>55</v>
      </c>
      <c r="D3248" s="8">
        <v>12</v>
      </c>
      <c r="E3248" s="11">
        <v>8201</v>
      </c>
      <c r="F3248" s="10">
        <f ca="1">INDIRECT(ADDRESS(ROW(),COLUMN()-2,4))*INDIRECT(ADDRESS(ROW(),COLUMN()-1,4))</f>
        <v>98412</v>
      </c>
    </row>
    <row r="3249" spans="1:6" x14ac:dyDescent="0.25">
      <c r="A3249" s="8">
        <v>47121702</v>
      </c>
      <c r="B3249" s="9" t="str">
        <f ca="1">IFERROR(INDEX(UNSPSCDes,MATCH(INDIRECT(ADDRESS(ROW(),COLUMN()-1,4)),UNSPSCCode,0)),"")</f>
        <v>Contenedores de desperdicios o revestimientos rígidos</v>
      </c>
      <c r="C3249" s="33" t="s">
        <v>55</v>
      </c>
      <c r="D3249" s="8">
        <v>50</v>
      </c>
      <c r="E3249" s="11">
        <v>885</v>
      </c>
      <c r="F3249" s="10">
        <f ca="1">INDIRECT(ADDRESS(ROW(),COLUMN()-2,4))*INDIRECT(ADDRESS(ROW(),COLUMN()-1,4))</f>
        <v>44250</v>
      </c>
    </row>
    <row r="3250" spans="1:6" x14ac:dyDescent="0.25">
      <c r="A3250" s="40"/>
      <c r="B3250" s="40"/>
      <c r="C3250" s="40"/>
      <c r="D3250" s="40"/>
      <c r="E3250" s="13" t="s">
        <v>87</v>
      </c>
      <c r="F3250" s="14">
        <f ca="1">SUM(Table3114[MONTO TOTAL ESTIMADO])</f>
        <v>316712</v>
      </c>
    </row>
    <row r="3251" spans="1:6" ht="15.75" thickBot="1" x14ac:dyDescent="0.3">
      <c r="A3251" s="42"/>
      <c r="B3251" s="42"/>
      <c r="C3251" s="42"/>
      <c r="D3251" s="42"/>
      <c r="E3251" s="42"/>
      <c r="F3251" s="42"/>
    </row>
    <row r="3252" spans="1:6" ht="23.25" thickBot="1" x14ac:dyDescent="0.3">
      <c r="A3252" s="4" t="s">
        <v>19</v>
      </c>
      <c r="B3252" s="4" t="s">
        <v>20</v>
      </c>
      <c r="C3252" s="4" t="s">
        <v>21</v>
      </c>
      <c r="D3252" s="4" t="s">
        <v>22</v>
      </c>
      <c r="E3252" s="4" t="s">
        <v>23</v>
      </c>
      <c r="F3252" s="4" t="s">
        <v>24</v>
      </c>
    </row>
    <row r="3253" spans="1:6" ht="15.75" thickBot="1" x14ac:dyDescent="0.3">
      <c r="A3253" s="32" t="s">
        <v>441</v>
      </c>
      <c r="B3253" s="32" t="s">
        <v>442</v>
      </c>
      <c r="C3253" s="32" t="s">
        <v>27</v>
      </c>
      <c r="D3253" s="6" t="s">
        <v>28</v>
      </c>
      <c r="E3253" s="6" t="s">
        <v>262</v>
      </c>
      <c r="F3253" s="6"/>
    </row>
    <row r="3254" spans="1:6" ht="15.75" thickBot="1" x14ac:dyDescent="0.3">
      <c r="A3254" s="35" t="s">
        <v>31</v>
      </c>
      <c r="B3254" s="7" t="s">
        <v>32</v>
      </c>
      <c r="C3254" s="15">
        <v>45383</v>
      </c>
      <c r="D3254" s="35" t="s">
        <v>33</v>
      </c>
      <c r="E3254" s="7" t="s">
        <v>34</v>
      </c>
      <c r="F3254" s="6"/>
    </row>
    <row r="3255" spans="1:6" ht="15.75" thickBot="1" x14ac:dyDescent="0.3">
      <c r="A3255" s="36"/>
      <c r="B3255" s="7" t="s">
        <v>36</v>
      </c>
      <c r="C3255" s="5">
        <f>IF(C3254="","",IF(AND(MONTH(C3254)&gt;=1,MONTH(C3254)&lt;=3),1,IF(AND(MONTH(C3254)&gt;=4,MONTH(C3254)&lt;=6),2,IF(AND(MONTH(C3254)&gt;=7,MONTH(C3254)&lt;=9),3,4))))</f>
        <v>2</v>
      </c>
      <c r="D3255" s="36"/>
      <c r="E3255" s="7" t="s">
        <v>37</v>
      </c>
      <c r="F3255" s="6"/>
    </row>
    <row r="3256" spans="1:6" ht="15.75" thickBot="1" x14ac:dyDescent="0.3">
      <c r="A3256" s="36"/>
      <c r="B3256" s="7" t="s">
        <v>39</v>
      </c>
      <c r="C3256" s="15">
        <v>45473</v>
      </c>
      <c r="D3256" s="36"/>
      <c r="E3256" s="7" t="s">
        <v>40</v>
      </c>
      <c r="F3256" s="6"/>
    </row>
    <row r="3257" spans="1:6" ht="15.75" thickBot="1" x14ac:dyDescent="0.3">
      <c r="A3257" s="36"/>
      <c r="B3257" s="7" t="s">
        <v>36</v>
      </c>
      <c r="C3257" s="5">
        <f>IF(C3256="","",IF(AND(MONTH(C3256)&gt;=1,MONTH(C3256)&lt;=3),1,IF(AND(MONTH(C3256)&gt;=4,MONTH(C3256)&lt;=6),2,IF(AND(MONTH(C3256)&gt;=7,MONTH(C3256)&lt;=9),3,4))))</f>
        <v>2</v>
      </c>
      <c r="D3257" s="36"/>
      <c r="E3257" s="7" t="s">
        <v>41</v>
      </c>
      <c r="F3257" s="6"/>
    </row>
    <row r="3258" spans="1:6" ht="15.75" thickBot="1" x14ac:dyDescent="0.3">
      <c r="A3258" s="40"/>
      <c r="B3258" s="40"/>
      <c r="C3258" s="40"/>
      <c r="D3258" s="40"/>
      <c r="E3258" s="40"/>
      <c r="F3258" s="40"/>
    </row>
    <row r="3259" spans="1:6" ht="15.75" thickBot="1" x14ac:dyDescent="0.3">
      <c r="A3259" s="12" t="s">
        <v>42</v>
      </c>
      <c r="B3259" s="12" t="s">
        <v>43</v>
      </c>
      <c r="C3259" s="12" t="s">
        <v>44</v>
      </c>
      <c r="D3259" s="12" t="s">
        <v>45</v>
      </c>
      <c r="E3259" s="12" t="s">
        <v>46</v>
      </c>
      <c r="F3259" s="12" t="s">
        <v>47</v>
      </c>
    </row>
    <row r="3260" spans="1:6" x14ac:dyDescent="0.25">
      <c r="A3260" s="8">
        <v>31211508</v>
      </c>
      <c r="B3260" s="9" t="str">
        <f t="shared" ref="B3260:B3266" ca="1" si="21">IFERROR(INDEX(UNSPSCDes,MATCH(INDIRECT(ADDRESS(ROW(),COLUMN()-1,4)),UNSPSCCode,0)),"")</f>
        <v>Pinturas acrílicas</v>
      </c>
      <c r="C3260" s="33" t="s">
        <v>55</v>
      </c>
      <c r="D3260" s="8">
        <v>20</v>
      </c>
      <c r="E3260" s="11">
        <v>2360</v>
      </c>
      <c r="F3260" s="10">
        <f t="shared" ref="F3260:F3266" ca="1" si="22">INDIRECT(ADDRESS(ROW(),COLUMN()-2,4))*INDIRECT(ADDRESS(ROW(),COLUMN()-1,4))</f>
        <v>47200</v>
      </c>
    </row>
    <row r="3261" spans="1:6" x14ac:dyDescent="0.25">
      <c r="A3261" s="8">
        <v>31211508</v>
      </c>
      <c r="B3261" s="9" t="str">
        <f t="shared" ca="1" si="21"/>
        <v>Pinturas acrílicas</v>
      </c>
      <c r="C3261" s="33" t="s">
        <v>55</v>
      </c>
      <c r="D3261" s="8">
        <v>30</v>
      </c>
      <c r="E3261" s="11">
        <v>2596</v>
      </c>
      <c r="F3261" s="10">
        <f t="shared" ca="1" si="22"/>
        <v>77880</v>
      </c>
    </row>
    <row r="3262" spans="1:6" x14ac:dyDescent="0.25">
      <c r="A3262" s="8">
        <v>31211508</v>
      </c>
      <c r="B3262" s="9" t="str">
        <f t="shared" ca="1" si="21"/>
        <v>Pinturas acrílicas</v>
      </c>
      <c r="C3262" s="33" t="s">
        <v>55</v>
      </c>
      <c r="D3262" s="8">
        <v>10</v>
      </c>
      <c r="E3262" s="11">
        <v>2360</v>
      </c>
      <c r="F3262" s="10">
        <f t="shared" ca="1" si="22"/>
        <v>23600</v>
      </c>
    </row>
    <row r="3263" spans="1:6" x14ac:dyDescent="0.25">
      <c r="A3263" s="8">
        <v>31211508</v>
      </c>
      <c r="B3263" s="9" t="str">
        <f t="shared" ca="1" si="21"/>
        <v>Pinturas acrílicas</v>
      </c>
      <c r="C3263" s="33" t="s">
        <v>55</v>
      </c>
      <c r="D3263" s="8">
        <v>30</v>
      </c>
      <c r="E3263" s="11">
        <v>1770</v>
      </c>
      <c r="F3263" s="10">
        <f t="shared" ca="1" si="22"/>
        <v>53100</v>
      </c>
    </row>
    <row r="3264" spans="1:6" x14ac:dyDescent="0.25">
      <c r="A3264" s="8">
        <v>31211508</v>
      </c>
      <c r="B3264" s="9" t="str">
        <f t="shared" ca="1" si="21"/>
        <v>Pinturas acrílicas</v>
      </c>
      <c r="C3264" s="33" t="s">
        <v>55</v>
      </c>
      <c r="D3264" s="8">
        <v>15</v>
      </c>
      <c r="E3264" s="11">
        <v>1534</v>
      </c>
      <c r="F3264" s="10">
        <f t="shared" ca="1" si="22"/>
        <v>23010</v>
      </c>
    </row>
    <row r="3265" spans="1:6" x14ac:dyDescent="0.25">
      <c r="A3265" s="8">
        <v>31211508</v>
      </c>
      <c r="B3265" s="9" t="str">
        <f t="shared" ca="1" si="21"/>
        <v>Pinturas acrílicas</v>
      </c>
      <c r="C3265" s="33" t="s">
        <v>55</v>
      </c>
      <c r="D3265" s="8">
        <v>15</v>
      </c>
      <c r="E3265" s="11">
        <v>1534</v>
      </c>
      <c r="F3265" s="10">
        <f t="shared" ca="1" si="22"/>
        <v>23010</v>
      </c>
    </row>
    <row r="3266" spans="1:6" x14ac:dyDescent="0.25">
      <c r="A3266" s="8">
        <v>31211508</v>
      </c>
      <c r="B3266" s="9" t="str">
        <f t="shared" ca="1" si="21"/>
        <v>Pinturas acrílicas</v>
      </c>
      <c r="C3266" s="33" t="s">
        <v>55</v>
      </c>
      <c r="D3266" s="8">
        <v>30</v>
      </c>
      <c r="E3266" s="11">
        <v>531</v>
      </c>
      <c r="F3266" s="10">
        <f t="shared" ca="1" si="22"/>
        <v>15930</v>
      </c>
    </row>
    <row r="3267" spans="1:6" x14ac:dyDescent="0.25">
      <c r="A3267" s="40"/>
      <c r="B3267" s="40"/>
      <c r="C3267" s="40"/>
      <c r="D3267" s="40"/>
      <c r="E3267" s="13" t="s">
        <v>87</v>
      </c>
      <c r="F3267" s="14">
        <f ca="1">SUM(Table3115[MONTO TOTAL ESTIMADO])</f>
        <v>263730</v>
      </c>
    </row>
    <row r="3268" spans="1:6" ht="15.75" thickBot="1" x14ac:dyDescent="0.3">
      <c r="A3268" s="42"/>
      <c r="B3268" s="42"/>
      <c r="C3268" s="42"/>
      <c r="D3268" s="42"/>
      <c r="E3268" s="42"/>
      <c r="F3268" s="42"/>
    </row>
    <row r="3269" spans="1:6" ht="23.25" thickBot="1" x14ac:dyDescent="0.3">
      <c r="A3269" s="4" t="s">
        <v>19</v>
      </c>
      <c r="B3269" s="4" t="s">
        <v>20</v>
      </c>
      <c r="C3269" s="4" t="s">
        <v>21</v>
      </c>
      <c r="D3269" s="4" t="s">
        <v>22</v>
      </c>
      <c r="E3269" s="4" t="s">
        <v>23</v>
      </c>
      <c r="F3269" s="4" t="s">
        <v>24</v>
      </c>
    </row>
    <row r="3270" spans="1:6" ht="15.75" thickBot="1" x14ac:dyDescent="0.3">
      <c r="A3270" s="32" t="s">
        <v>444</v>
      </c>
      <c r="B3270" s="32" t="s">
        <v>445</v>
      </c>
      <c r="C3270" s="32" t="s">
        <v>27</v>
      </c>
      <c r="D3270" s="6" t="s">
        <v>188</v>
      </c>
      <c r="E3270" s="6" t="s">
        <v>262</v>
      </c>
      <c r="F3270" s="6"/>
    </row>
    <row r="3271" spans="1:6" ht="15.75" thickBot="1" x14ac:dyDescent="0.3">
      <c r="A3271" s="35" t="s">
        <v>31</v>
      </c>
      <c r="B3271" s="7" t="s">
        <v>32</v>
      </c>
      <c r="C3271" s="15">
        <v>45383</v>
      </c>
      <c r="D3271" s="35" t="s">
        <v>33</v>
      </c>
      <c r="E3271" s="7" t="s">
        <v>34</v>
      </c>
      <c r="F3271" s="6"/>
    </row>
    <row r="3272" spans="1:6" ht="15.75" thickBot="1" x14ac:dyDescent="0.3">
      <c r="A3272" s="36"/>
      <c r="B3272" s="7" t="s">
        <v>36</v>
      </c>
      <c r="C3272" s="5">
        <f>IF(C3271="","",IF(AND(MONTH(C3271)&gt;=1,MONTH(C3271)&lt;=3),1,IF(AND(MONTH(C3271)&gt;=4,MONTH(C3271)&lt;=6),2,IF(AND(MONTH(C3271)&gt;=7,MONTH(C3271)&lt;=9),3,4))))</f>
        <v>2</v>
      </c>
      <c r="D3272" s="36"/>
      <c r="E3272" s="7" t="s">
        <v>37</v>
      </c>
      <c r="F3272" s="6"/>
    </row>
    <row r="3273" spans="1:6" ht="15.75" thickBot="1" x14ac:dyDescent="0.3">
      <c r="A3273" s="36"/>
      <c r="B3273" s="7" t="s">
        <v>39</v>
      </c>
      <c r="C3273" s="15">
        <v>45473</v>
      </c>
      <c r="D3273" s="36"/>
      <c r="E3273" s="7" t="s">
        <v>40</v>
      </c>
      <c r="F3273" s="6"/>
    </row>
    <row r="3274" spans="1:6" ht="15.75" thickBot="1" x14ac:dyDescent="0.3">
      <c r="A3274" s="36"/>
      <c r="B3274" s="7" t="s">
        <v>36</v>
      </c>
      <c r="C3274" s="5">
        <f>IF(C3273="","",IF(AND(MONTH(C3273)&gt;=1,MONTH(C3273)&lt;=3),1,IF(AND(MONTH(C3273)&gt;=4,MONTH(C3273)&lt;=6),2,IF(AND(MONTH(C3273)&gt;=7,MONTH(C3273)&lt;=9),3,4))))</f>
        <v>2</v>
      </c>
      <c r="D3274" s="36"/>
      <c r="E3274" s="7" t="s">
        <v>41</v>
      </c>
      <c r="F3274" s="6"/>
    </row>
    <row r="3275" spans="1:6" ht="15.75" thickBot="1" x14ac:dyDescent="0.3">
      <c r="A3275" s="40"/>
      <c r="B3275" s="40"/>
      <c r="C3275" s="40"/>
      <c r="D3275" s="40"/>
      <c r="E3275" s="40"/>
      <c r="F3275" s="40"/>
    </row>
    <row r="3276" spans="1:6" ht="15.75" thickBot="1" x14ac:dyDescent="0.3">
      <c r="A3276" s="12" t="s">
        <v>42</v>
      </c>
      <c r="B3276" s="12" t="s">
        <v>43</v>
      </c>
      <c r="C3276" s="12" t="s">
        <v>44</v>
      </c>
      <c r="D3276" s="12" t="s">
        <v>45</v>
      </c>
      <c r="E3276" s="12" t="s">
        <v>46</v>
      </c>
      <c r="F3276" s="12" t="s">
        <v>47</v>
      </c>
    </row>
    <row r="3277" spans="1:6" x14ac:dyDescent="0.25">
      <c r="A3277" s="8">
        <v>39101605</v>
      </c>
      <c r="B3277" s="9" t="str">
        <f ca="1">IFERROR(INDEX(UNSPSCDes,MATCH(INDIRECT(ADDRESS(ROW(),COLUMN()-1,4)),UNSPSCCode,0)),"")</f>
        <v>Lámparas fluorescentes</v>
      </c>
      <c r="C3277" s="33" t="s">
        <v>55</v>
      </c>
      <c r="D3277" s="8">
        <v>180</v>
      </c>
      <c r="E3277" s="11">
        <v>1298</v>
      </c>
      <c r="F3277" s="10">
        <f ca="1">INDIRECT(ADDRESS(ROW(),COLUMN()-2,4))*INDIRECT(ADDRESS(ROW(),COLUMN()-1,4))</f>
        <v>233640</v>
      </c>
    </row>
    <row r="3278" spans="1:6" x14ac:dyDescent="0.25">
      <c r="A3278" s="40"/>
      <c r="B3278" s="40"/>
      <c r="C3278" s="40"/>
      <c r="D3278" s="40"/>
      <c r="E3278" s="13" t="s">
        <v>87</v>
      </c>
      <c r="F3278" s="14">
        <f ca="1">SUM(Table3116[MONTO TOTAL ESTIMADO])</f>
        <v>233640</v>
      </c>
    </row>
    <row r="3279" spans="1:6" ht="15.75" thickBot="1" x14ac:dyDescent="0.3">
      <c r="A3279" s="42"/>
      <c r="B3279" s="42"/>
      <c r="C3279" s="42"/>
      <c r="D3279" s="42"/>
      <c r="E3279" s="42"/>
      <c r="F3279" s="42"/>
    </row>
    <row r="3280" spans="1:6" ht="23.25" thickBot="1" x14ac:dyDescent="0.3">
      <c r="A3280" s="4" t="s">
        <v>19</v>
      </c>
      <c r="B3280" s="4" t="s">
        <v>20</v>
      </c>
      <c r="C3280" s="4" t="s">
        <v>21</v>
      </c>
      <c r="D3280" s="4" t="s">
        <v>22</v>
      </c>
      <c r="E3280" s="4" t="s">
        <v>23</v>
      </c>
      <c r="F3280" s="4" t="s">
        <v>24</v>
      </c>
    </row>
    <row r="3281" spans="1:6" ht="15.75" thickBot="1" x14ac:dyDescent="0.3">
      <c r="A3281" s="32" t="s">
        <v>447</v>
      </c>
      <c r="B3281" s="32" t="s">
        <v>448</v>
      </c>
      <c r="C3281" s="32" t="s">
        <v>27</v>
      </c>
      <c r="D3281" s="6" t="s">
        <v>188</v>
      </c>
      <c r="E3281" s="6" t="s">
        <v>262</v>
      </c>
      <c r="F3281" s="6"/>
    </row>
    <row r="3282" spans="1:6" ht="15.75" thickBot="1" x14ac:dyDescent="0.3">
      <c r="A3282" s="35" t="s">
        <v>31</v>
      </c>
      <c r="B3282" s="7" t="s">
        <v>32</v>
      </c>
      <c r="C3282" s="15">
        <v>45383</v>
      </c>
      <c r="D3282" s="35" t="s">
        <v>33</v>
      </c>
      <c r="E3282" s="7" t="s">
        <v>34</v>
      </c>
      <c r="F3282" s="6"/>
    </row>
    <row r="3283" spans="1:6" ht="15.75" thickBot="1" x14ac:dyDescent="0.3">
      <c r="A3283" s="36"/>
      <c r="B3283" s="7" t="s">
        <v>36</v>
      </c>
      <c r="C3283" s="5">
        <f>IF(C3282="","",IF(AND(MONTH(C3282)&gt;=1,MONTH(C3282)&lt;=3),1,IF(AND(MONTH(C3282)&gt;=4,MONTH(C3282)&lt;=6),2,IF(AND(MONTH(C3282)&gt;=7,MONTH(C3282)&lt;=9),3,4))))</f>
        <v>2</v>
      </c>
      <c r="D3283" s="36"/>
      <c r="E3283" s="7" t="s">
        <v>37</v>
      </c>
      <c r="F3283" s="6"/>
    </row>
    <row r="3284" spans="1:6" ht="15.75" thickBot="1" x14ac:dyDescent="0.3">
      <c r="A3284" s="36"/>
      <c r="B3284" s="7" t="s">
        <v>39</v>
      </c>
      <c r="C3284" s="15">
        <v>45473</v>
      </c>
      <c r="D3284" s="36"/>
      <c r="E3284" s="7" t="s">
        <v>40</v>
      </c>
      <c r="F3284" s="6"/>
    </row>
    <row r="3285" spans="1:6" ht="15.75" thickBot="1" x14ac:dyDescent="0.3">
      <c r="A3285" s="36"/>
      <c r="B3285" s="7" t="s">
        <v>36</v>
      </c>
      <c r="C3285" s="5">
        <f>IF(C3284="","",IF(AND(MONTH(C3284)&gt;=1,MONTH(C3284)&lt;=3),1,IF(AND(MONTH(C3284)&gt;=4,MONTH(C3284)&lt;=6),2,IF(AND(MONTH(C3284)&gt;=7,MONTH(C3284)&lt;=9),3,4))))</f>
        <v>2</v>
      </c>
      <c r="D3285" s="36"/>
      <c r="E3285" s="7" t="s">
        <v>41</v>
      </c>
      <c r="F3285" s="6"/>
    </row>
    <row r="3286" spans="1:6" ht="15.75" thickBot="1" x14ac:dyDescent="0.3">
      <c r="A3286" s="40"/>
      <c r="B3286" s="40"/>
      <c r="C3286" s="40"/>
      <c r="D3286" s="40"/>
      <c r="E3286" s="40"/>
      <c r="F3286" s="40"/>
    </row>
    <row r="3287" spans="1:6" ht="15.75" thickBot="1" x14ac:dyDescent="0.3">
      <c r="A3287" s="12" t="s">
        <v>42</v>
      </c>
      <c r="B3287" s="12" t="s">
        <v>43</v>
      </c>
      <c r="C3287" s="12" t="s">
        <v>44</v>
      </c>
      <c r="D3287" s="12" t="s">
        <v>45</v>
      </c>
      <c r="E3287" s="12" t="s">
        <v>46</v>
      </c>
      <c r="F3287" s="12" t="s">
        <v>47</v>
      </c>
    </row>
    <row r="3288" spans="1:6" x14ac:dyDescent="0.25">
      <c r="A3288" s="8">
        <v>46181525</v>
      </c>
      <c r="B3288" s="9" t="str">
        <f ca="1">IFERROR(INDEX(UNSPSCDes,MATCH(INDIRECT(ADDRESS(ROW(),COLUMN()-1,4)),UNSPSCCode,0)),"")</f>
        <v>Ropa impermeable protectora o ropa para ambiente húmedo</v>
      </c>
      <c r="C3288" s="8" t="s">
        <v>55</v>
      </c>
      <c r="D3288" s="8">
        <v>25</v>
      </c>
      <c r="E3288" s="11">
        <v>885.85</v>
      </c>
      <c r="F3288" s="10">
        <f ca="1">INDIRECT(ADDRESS(ROW(),COLUMN()-2,4))*INDIRECT(ADDRESS(ROW(),COLUMN()-1,4))</f>
        <v>22146.25</v>
      </c>
    </row>
    <row r="3289" spans="1:6" x14ac:dyDescent="0.25">
      <c r="A3289" s="8">
        <v>46181604</v>
      </c>
      <c r="B3289" s="9" t="str">
        <f ca="1">IFERROR(INDEX(UNSPSCDes,MATCH(INDIRECT(ADDRESS(ROW(),COLUMN()-1,4)),UNSPSCCode,0)),"")</f>
        <v>Botas de seguridad</v>
      </c>
      <c r="C3289" s="33" t="s">
        <v>55</v>
      </c>
      <c r="D3289" s="8">
        <v>25</v>
      </c>
      <c r="E3289" s="11">
        <v>792.37</v>
      </c>
      <c r="F3289" s="10">
        <f ca="1">INDIRECT(ADDRESS(ROW(),COLUMN()-2,4))*INDIRECT(ADDRESS(ROW(),COLUMN()-1,4))</f>
        <v>19809.25</v>
      </c>
    </row>
    <row r="3290" spans="1:6" x14ac:dyDescent="0.25">
      <c r="A3290" s="40"/>
      <c r="B3290" s="40"/>
      <c r="C3290" s="40"/>
      <c r="D3290" s="40"/>
      <c r="E3290" s="13" t="s">
        <v>87</v>
      </c>
      <c r="F3290" s="14">
        <f ca="1">SUM(Table3117[MONTO TOTAL ESTIMADO])</f>
        <v>41955.5</v>
      </c>
    </row>
    <row r="3291" spans="1:6" ht="15.75" thickBot="1" x14ac:dyDescent="0.3">
      <c r="A3291" s="42"/>
      <c r="B3291" s="42"/>
      <c r="C3291" s="42"/>
      <c r="D3291" s="42"/>
      <c r="E3291" s="42"/>
      <c r="F3291" s="42"/>
    </row>
    <row r="3292" spans="1:6" ht="23.25" thickBot="1" x14ac:dyDescent="0.3">
      <c r="A3292" s="4" t="s">
        <v>19</v>
      </c>
      <c r="B3292" s="4" t="s">
        <v>20</v>
      </c>
      <c r="C3292" s="4" t="s">
        <v>21</v>
      </c>
      <c r="D3292" s="4" t="s">
        <v>22</v>
      </c>
      <c r="E3292" s="4" t="s">
        <v>23</v>
      </c>
      <c r="F3292" s="4" t="s">
        <v>24</v>
      </c>
    </row>
    <row r="3293" spans="1:6" ht="15.75" thickBot="1" x14ac:dyDescent="0.3">
      <c r="A3293" s="32" t="s">
        <v>451</v>
      </c>
      <c r="B3293" s="32" t="s">
        <v>452</v>
      </c>
      <c r="C3293" s="32" t="s">
        <v>129</v>
      </c>
      <c r="D3293" s="6" t="s">
        <v>28</v>
      </c>
      <c r="E3293" s="6" t="s">
        <v>262</v>
      </c>
      <c r="F3293" s="6"/>
    </row>
    <row r="3294" spans="1:6" ht="15.75" thickBot="1" x14ac:dyDescent="0.3">
      <c r="A3294" s="35" t="s">
        <v>31</v>
      </c>
      <c r="B3294" s="7" t="s">
        <v>32</v>
      </c>
      <c r="C3294" s="15">
        <v>45383</v>
      </c>
      <c r="D3294" s="35" t="s">
        <v>33</v>
      </c>
      <c r="E3294" s="7" t="s">
        <v>34</v>
      </c>
      <c r="F3294" s="6"/>
    </row>
    <row r="3295" spans="1:6" ht="15.75" thickBot="1" x14ac:dyDescent="0.3">
      <c r="A3295" s="36"/>
      <c r="B3295" s="7" t="s">
        <v>36</v>
      </c>
      <c r="C3295" s="5">
        <f>IF(C3294="","",IF(AND(MONTH(C3294)&gt;=1,MONTH(C3294)&lt;=3),1,IF(AND(MONTH(C3294)&gt;=4,MONTH(C3294)&lt;=6),2,IF(AND(MONTH(C3294)&gt;=7,MONTH(C3294)&lt;=9),3,4))))</f>
        <v>2</v>
      </c>
      <c r="D3295" s="36"/>
      <c r="E3295" s="7" t="s">
        <v>37</v>
      </c>
      <c r="F3295" s="6"/>
    </row>
    <row r="3296" spans="1:6" ht="15.75" thickBot="1" x14ac:dyDescent="0.3">
      <c r="A3296" s="36"/>
      <c r="B3296" s="7" t="s">
        <v>39</v>
      </c>
      <c r="C3296" s="15">
        <v>45473</v>
      </c>
      <c r="D3296" s="36"/>
      <c r="E3296" s="7" t="s">
        <v>40</v>
      </c>
      <c r="F3296" s="6"/>
    </row>
    <row r="3297" spans="1:6" ht="15.75" thickBot="1" x14ac:dyDescent="0.3">
      <c r="A3297" s="36"/>
      <c r="B3297" s="7" t="s">
        <v>36</v>
      </c>
      <c r="C3297" s="5">
        <f>IF(C3296="","",IF(AND(MONTH(C3296)&gt;=1,MONTH(C3296)&lt;=3),1,IF(AND(MONTH(C3296)&gt;=4,MONTH(C3296)&lt;=6),2,IF(AND(MONTH(C3296)&gt;=7,MONTH(C3296)&lt;=9),3,4))))</f>
        <v>2</v>
      </c>
      <c r="D3297" s="36"/>
      <c r="E3297" s="7" t="s">
        <v>41</v>
      </c>
      <c r="F3297" s="6"/>
    </row>
    <row r="3298" spans="1:6" ht="15.75" thickBot="1" x14ac:dyDescent="0.3">
      <c r="A3298" s="40"/>
      <c r="B3298" s="40"/>
      <c r="C3298" s="40"/>
      <c r="D3298" s="40"/>
      <c r="E3298" s="40"/>
      <c r="F3298" s="40"/>
    </row>
    <row r="3299" spans="1:6" ht="15.75" thickBot="1" x14ac:dyDescent="0.3">
      <c r="A3299" s="12" t="s">
        <v>42</v>
      </c>
      <c r="B3299" s="12" t="s">
        <v>43</v>
      </c>
      <c r="C3299" s="12" t="s">
        <v>44</v>
      </c>
      <c r="D3299" s="12" t="s">
        <v>45</v>
      </c>
      <c r="E3299" s="12" t="s">
        <v>46</v>
      </c>
      <c r="F3299" s="12" t="s">
        <v>47</v>
      </c>
    </row>
    <row r="3300" spans="1:6" x14ac:dyDescent="0.25">
      <c r="A3300" s="41">
        <v>86101705</v>
      </c>
      <c r="B3300" s="9" t="str">
        <f ca="1">IFERROR(INDEX(UNSPSCDes,MATCH(INDIRECT(ADDRESS(ROW(),COLUMN()-1,4)),UNSPSCCode,0)),"")</f>
        <v>Capacitación administrativa</v>
      </c>
      <c r="C3300" s="33" t="s">
        <v>55</v>
      </c>
      <c r="D3300" s="8">
        <v>1</v>
      </c>
      <c r="E3300" s="11">
        <v>1500000</v>
      </c>
      <c r="F3300" s="10">
        <f ca="1">INDIRECT(ADDRESS(ROW(),COLUMN()-2,4))*INDIRECT(ADDRESS(ROW(),COLUMN()-1,4))</f>
        <v>1500000</v>
      </c>
    </row>
    <row r="3301" spans="1:6" x14ac:dyDescent="0.25">
      <c r="A3301" s="40"/>
      <c r="B3301" s="40"/>
      <c r="C3301" s="40"/>
      <c r="D3301" s="40"/>
      <c r="E3301" s="13" t="s">
        <v>87</v>
      </c>
      <c r="F3301" s="14">
        <f ca="1">SUM(Table3118[MONTO TOTAL ESTIMADO])</f>
        <v>1500000</v>
      </c>
    </row>
    <row r="3302" spans="1:6" ht="15.75" thickBot="1" x14ac:dyDescent="0.3">
      <c r="A3302" s="42"/>
      <c r="B3302" s="42"/>
      <c r="C3302" s="42"/>
      <c r="D3302" s="42"/>
      <c r="E3302" s="42"/>
      <c r="F3302" s="42"/>
    </row>
    <row r="3303" spans="1:6" ht="23.25" thickBot="1" x14ac:dyDescent="0.3">
      <c r="A3303" s="4" t="s">
        <v>19</v>
      </c>
      <c r="B3303" s="4" t="s">
        <v>20</v>
      </c>
      <c r="C3303" s="4" t="s">
        <v>21</v>
      </c>
      <c r="D3303" s="4" t="s">
        <v>22</v>
      </c>
      <c r="E3303" s="4" t="s">
        <v>23</v>
      </c>
      <c r="F3303" s="4" t="s">
        <v>24</v>
      </c>
    </row>
    <row r="3304" spans="1:6" ht="15.75" thickBot="1" x14ac:dyDescent="0.3">
      <c r="A3304" s="32" t="s">
        <v>454</v>
      </c>
      <c r="B3304" s="32" t="s">
        <v>455</v>
      </c>
      <c r="C3304" s="32" t="s">
        <v>27</v>
      </c>
      <c r="D3304" s="6" t="s">
        <v>90</v>
      </c>
      <c r="E3304" s="6" t="s">
        <v>262</v>
      </c>
      <c r="F3304" s="6"/>
    </row>
    <row r="3305" spans="1:6" ht="15.75" thickBot="1" x14ac:dyDescent="0.3">
      <c r="A3305" s="35" t="s">
        <v>31</v>
      </c>
      <c r="B3305" s="7" t="s">
        <v>32</v>
      </c>
      <c r="C3305" s="15">
        <v>45383</v>
      </c>
      <c r="D3305" s="35" t="s">
        <v>33</v>
      </c>
      <c r="E3305" s="7" t="s">
        <v>34</v>
      </c>
      <c r="F3305" s="6"/>
    </row>
    <row r="3306" spans="1:6" ht="15.75" thickBot="1" x14ac:dyDescent="0.3">
      <c r="A3306" s="36"/>
      <c r="B3306" s="7" t="s">
        <v>36</v>
      </c>
      <c r="C3306" s="5">
        <f>IF(C3305="","",IF(AND(MONTH(C3305)&gt;=1,MONTH(C3305)&lt;=3),1,IF(AND(MONTH(C3305)&gt;=4,MONTH(C3305)&lt;=6),2,IF(AND(MONTH(C3305)&gt;=7,MONTH(C3305)&lt;=9),3,4))))</f>
        <v>2</v>
      </c>
      <c r="D3306" s="36"/>
      <c r="E3306" s="7" t="s">
        <v>37</v>
      </c>
      <c r="F3306" s="6"/>
    </row>
    <row r="3307" spans="1:6" ht="15.75" thickBot="1" x14ac:dyDescent="0.3">
      <c r="A3307" s="36"/>
      <c r="B3307" s="7" t="s">
        <v>39</v>
      </c>
      <c r="C3307" s="15">
        <v>45473</v>
      </c>
      <c r="D3307" s="36"/>
      <c r="E3307" s="7" t="s">
        <v>40</v>
      </c>
      <c r="F3307" s="6"/>
    </row>
    <row r="3308" spans="1:6" ht="15.75" thickBot="1" x14ac:dyDescent="0.3">
      <c r="A3308" s="36"/>
      <c r="B3308" s="7" t="s">
        <v>36</v>
      </c>
      <c r="C3308" s="5">
        <f>IF(C3307="","",IF(AND(MONTH(C3307)&gt;=1,MONTH(C3307)&lt;=3),1,IF(AND(MONTH(C3307)&gt;=4,MONTH(C3307)&lt;=6),2,IF(AND(MONTH(C3307)&gt;=7,MONTH(C3307)&lt;=9),3,4))))</f>
        <v>2</v>
      </c>
      <c r="D3308" s="36"/>
      <c r="E3308" s="7" t="s">
        <v>41</v>
      </c>
      <c r="F3308" s="6"/>
    </row>
    <row r="3309" spans="1:6" ht="15.75" thickBot="1" x14ac:dyDescent="0.3">
      <c r="A3309" s="40"/>
      <c r="B3309" s="40"/>
      <c r="C3309" s="40"/>
      <c r="D3309" s="40"/>
      <c r="E3309" s="40"/>
      <c r="F3309" s="40"/>
    </row>
    <row r="3310" spans="1:6" ht="15.75" thickBot="1" x14ac:dyDescent="0.3">
      <c r="A3310" s="12" t="s">
        <v>42</v>
      </c>
      <c r="B3310" s="12" t="s">
        <v>43</v>
      </c>
      <c r="C3310" s="12" t="s">
        <v>44</v>
      </c>
      <c r="D3310" s="12" t="s">
        <v>45</v>
      </c>
      <c r="E3310" s="12" t="s">
        <v>46</v>
      </c>
      <c r="F3310" s="12" t="s">
        <v>47</v>
      </c>
    </row>
    <row r="3311" spans="1:6" x14ac:dyDescent="0.25">
      <c r="A3311" s="8">
        <v>14111507</v>
      </c>
      <c r="B3311" s="9" t="str">
        <f ca="1">IFERROR(INDEX(UNSPSCDes,MATCH(INDIRECT(ADDRESS(ROW(),COLUMN()-1,4)),UNSPSCCode,0)),"")</f>
        <v>Papel para impresora o fotocopiadora</v>
      </c>
      <c r="C3311" s="8" t="s">
        <v>51</v>
      </c>
      <c r="D3311" s="8">
        <v>6000</v>
      </c>
      <c r="E3311" s="11">
        <v>354</v>
      </c>
      <c r="F3311" s="10">
        <f ca="1">INDIRECT(ADDRESS(ROW(),COLUMN()-2,4))*INDIRECT(ADDRESS(ROW(),COLUMN()-1,4))</f>
        <v>2124000</v>
      </c>
    </row>
    <row r="3312" spans="1:6" x14ac:dyDescent="0.25">
      <c r="A3312" s="40"/>
      <c r="B3312" s="40"/>
      <c r="C3312" s="40"/>
      <c r="D3312" s="40"/>
      <c r="E3312" s="13" t="s">
        <v>87</v>
      </c>
      <c r="F3312" s="14">
        <f ca="1">SUM(Table3119[MONTO TOTAL ESTIMADO])</f>
        <v>2124000</v>
      </c>
    </row>
    <row r="3313" spans="1:6" ht="15.75" thickBot="1" x14ac:dyDescent="0.3">
      <c r="A3313" s="42"/>
      <c r="B3313" s="42"/>
      <c r="C3313" s="42"/>
      <c r="D3313" s="42"/>
      <c r="E3313" s="42"/>
      <c r="F3313" s="42"/>
    </row>
    <row r="3314" spans="1:6" ht="23.25" thickBot="1" x14ac:dyDescent="0.3">
      <c r="A3314" s="4" t="s">
        <v>19</v>
      </c>
      <c r="B3314" s="4" t="s">
        <v>20</v>
      </c>
      <c r="C3314" s="4" t="s">
        <v>21</v>
      </c>
      <c r="D3314" s="4" t="s">
        <v>22</v>
      </c>
      <c r="E3314" s="4" t="s">
        <v>23</v>
      </c>
      <c r="F3314" s="4" t="s">
        <v>24</v>
      </c>
    </row>
    <row r="3315" spans="1:6" ht="15.75" thickBot="1" x14ac:dyDescent="0.3">
      <c r="A3315" s="32" t="s">
        <v>456</v>
      </c>
      <c r="B3315" s="32" t="s">
        <v>457</v>
      </c>
      <c r="C3315" s="32" t="s">
        <v>27</v>
      </c>
      <c r="D3315" s="6" t="s">
        <v>28</v>
      </c>
      <c r="E3315" s="6" t="s">
        <v>262</v>
      </c>
      <c r="F3315" s="6"/>
    </row>
    <row r="3316" spans="1:6" ht="15.75" thickBot="1" x14ac:dyDescent="0.3">
      <c r="A3316" s="35" t="s">
        <v>31</v>
      </c>
      <c r="B3316" s="7" t="s">
        <v>32</v>
      </c>
      <c r="C3316" s="15">
        <v>45383</v>
      </c>
      <c r="D3316" s="35" t="s">
        <v>33</v>
      </c>
      <c r="E3316" s="7" t="s">
        <v>34</v>
      </c>
      <c r="F3316" s="6"/>
    </row>
    <row r="3317" spans="1:6" ht="15.75" thickBot="1" x14ac:dyDescent="0.3">
      <c r="A3317" s="36"/>
      <c r="B3317" s="7" t="s">
        <v>36</v>
      </c>
      <c r="C3317" s="5">
        <f>IF(C3316="","",IF(AND(MONTH(C3316)&gt;=1,MONTH(C3316)&lt;=3),1,IF(AND(MONTH(C3316)&gt;=4,MONTH(C3316)&lt;=6),2,IF(AND(MONTH(C3316)&gt;=7,MONTH(C3316)&lt;=9),3,4))))</f>
        <v>2</v>
      </c>
      <c r="D3317" s="36"/>
      <c r="E3317" s="7" t="s">
        <v>37</v>
      </c>
      <c r="F3317" s="6"/>
    </row>
    <row r="3318" spans="1:6" ht="15.75" thickBot="1" x14ac:dyDescent="0.3">
      <c r="A3318" s="36"/>
      <c r="B3318" s="7" t="s">
        <v>39</v>
      </c>
      <c r="C3318" s="15">
        <v>45473</v>
      </c>
      <c r="D3318" s="36"/>
      <c r="E3318" s="7" t="s">
        <v>40</v>
      </c>
      <c r="F3318" s="6"/>
    </row>
    <row r="3319" spans="1:6" ht="15.75" thickBot="1" x14ac:dyDescent="0.3">
      <c r="A3319" s="36"/>
      <c r="B3319" s="7" t="s">
        <v>36</v>
      </c>
      <c r="C3319" s="5">
        <f>IF(C3318="","",IF(AND(MONTH(C3318)&gt;=1,MONTH(C3318)&lt;=3),1,IF(AND(MONTH(C3318)&gt;=4,MONTH(C3318)&lt;=6),2,IF(AND(MONTH(C3318)&gt;=7,MONTH(C3318)&lt;=9),3,4))))</f>
        <v>2</v>
      </c>
      <c r="D3319" s="36"/>
      <c r="E3319" s="7" t="s">
        <v>41</v>
      </c>
      <c r="F3319" s="6"/>
    </row>
    <row r="3320" spans="1:6" ht="15.75" thickBot="1" x14ac:dyDescent="0.3">
      <c r="A3320" s="40"/>
      <c r="B3320" s="40"/>
      <c r="C3320" s="40"/>
      <c r="D3320" s="40"/>
      <c r="E3320" s="40"/>
      <c r="F3320" s="40"/>
    </row>
    <row r="3321" spans="1:6" ht="15.75" thickBot="1" x14ac:dyDescent="0.3">
      <c r="A3321" s="12" t="s">
        <v>42</v>
      </c>
      <c r="B3321" s="12" t="s">
        <v>43</v>
      </c>
      <c r="C3321" s="12" t="s">
        <v>44</v>
      </c>
      <c r="D3321" s="12" t="s">
        <v>45</v>
      </c>
      <c r="E3321" s="12" t="s">
        <v>46</v>
      </c>
      <c r="F3321" s="12" t="s">
        <v>47</v>
      </c>
    </row>
    <row r="3322" spans="1:6" x14ac:dyDescent="0.25">
      <c r="A3322" s="8">
        <v>31211903</v>
      </c>
      <c r="B3322" s="9" t="str">
        <f ca="1">IFERROR(INDEX(UNSPSCDes,MATCH(INDIRECT(ADDRESS(ROW(),COLUMN()-1,4)),UNSPSCCode,0)),"")</f>
        <v>Equipo para protección</v>
      </c>
      <c r="C3322" s="33" t="s">
        <v>55</v>
      </c>
      <c r="D3322" s="8">
        <v>1000</v>
      </c>
      <c r="E3322" s="11">
        <v>1700</v>
      </c>
      <c r="F3322" s="10">
        <f ca="1">INDIRECT(ADDRESS(ROW(),COLUMN()-2,4))*INDIRECT(ADDRESS(ROW(),COLUMN()-1,4))</f>
        <v>1700000</v>
      </c>
    </row>
    <row r="3323" spans="1:6" x14ac:dyDescent="0.25">
      <c r="A3323" s="40"/>
      <c r="B3323" s="40"/>
      <c r="C3323" s="40"/>
      <c r="D3323" s="40"/>
      <c r="E3323" s="13" t="s">
        <v>87</v>
      </c>
      <c r="F3323" s="14">
        <f ca="1">SUM(Table3120[MONTO TOTAL ESTIMADO])</f>
        <v>1700000</v>
      </c>
    </row>
    <row r="3324" spans="1:6" ht="15.75" thickBot="1" x14ac:dyDescent="0.3">
      <c r="A3324" s="42"/>
      <c r="B3324" s="42"/>
      <c r="C3324" s="42"/>
      <c r="D3324" s="42"/>
      <c r="E3324" s="42"/>
      <c r="F3324" s="42"/>
    </row>
    <row r="3325" spans="1:6" ht="23.25" thickBot="1" x14ac:dyDescent="0.3">
      <c r="A3325" s="4" t="s">
        <v>19</v>
      </c>
      <c r="B3325" s="4" t="s">
        <v>20</v>
      </c>
      <c r="C3325" s="4" t="s">
        <v>21</v>
      </c>
      <c r="D3325" s="4" t="s">
        <v>22</v>
      </c>
      <c r="E3325" s="4" t="s">
        <v>23</v>
      </c>
      <c r="F3325" s="4" t="s">
        <v>24</v>
      </c>
    </row>
    <row r="3326" spans="1:6" ht="15.75" thickBot="1" x14ac:dyDescent="0.3">
      <c r="A3326" s="32" t="s">
        <v>459</v>
      </c>
      <c r="B3326" s="32" t="s">
        <v>460</v>
      </c>
      <c r="C3326" s="32" t="s">
        <v>27</v>
      </c>
      <c r="D3326" s="6" t="s">
        <v>28</v>
      </c>
      <c r="E3326" s="6" t="s">
        <v>262</v>
      </c>
      <c r="F3326" s="6"/>
    </row>
    <row r="3327" spans="1:6" ht="15.75" thickBot="1" x14ac:dyDescent="0.3">
      <c r="A3327" s="35" t="s">
        <v>31</v>
      </c>
      <c r="B3327" s="7" t="s">
        <v>32</v>
      </c>
      <c r="C3327" s="15">
        <v>45383</v>
      </c>
      <c r="D3327" s="35" t="s">
        <v>33</v>
      </c>
      <c r="E3327" s="7" t="s">
        <v>34</v>
      </c>
      <c r="F3327" s="6"/>
    </row>
    <row r="3328" spans="1:6" ht="15.75" thickBot="1" x14ac:dyDescent="0.3">
      <c r="A3328" s="36"/>
      <c r="B3328" s="7" t="s">
        <v>36</v>
      </c>
      <c r="C3328" s="5">
        <f>IF(C3327="","",IF(AND(MONTH(C3327)&gt;=1,MONTH(C3327)&lt;=3),1,IF(AND(MONTH(C3327)&gt;=4,MONTH(C3327)&lt;=6),2,IF(AND(MONTH(C3327)&gt;=7,MONTH(C3327)&lt;=9),3,4))))</f>
        <v>2</v>
      </c>
      <c r="D3328" s="36"/>
      <c r="E3328" s="7" t="s">
        <v>37</v>
      </c>
      <c r="F3328" s="6"/>
    </row>
    <row r="3329" spans="1:6" ht="15.75" thickBot="1" x14ac:dyDescent="0.3">
      <c r="A3329" s="36"/>
      <c r="B3329" s="7" t="s">
        <v>39</v>
      </c>
      <c r="C3329" s="15">
        <v>45473</v>
      </c>
      <c r="D3329" s="36"/>
      <c r="E3329" s="7" t="s">
        <v>40</v>
      </c>
      <c r="F3329" s="6"/>
    </row>
    <row r="3330" spans="1:6" ht="15.75" thickBot="1" x14ac:dyDescent="0.3">
      <c r="A3330" s="36"/>
      <c r="B3330" s="7" t="s">
        <v>36</v>
      </c>
      <c r="C3330" s="5">
        <f>IF(C3329="","",IF(AND(MONTH(C3329)&gt;=1,MONTH(C3329)&lt;=3),1,IF(AND(MONTH(C3329)&gt;=4,MONTH(C3329)&lt;=6),2,IF(AND(MONTH(C3329)&gt;=7,MONTH(C3329)&lt;=9),3,4))))</f>
        <v>2</v>
      </c>
      <c r="D3330" s="36"/>
      <c r="E3330" s="7" t="s">
        <v>41</v>
      </c>
      <c r="F3330" s="6"/>
    </row>
    <row r="3331" spans="1:6" ht="15.75" thickBot="1" x14ac:dyDescent="0.3">
      <c r="A3331" s="40"/>
      <c r="B3331" s="40"/>
      <c r="C3331" s="40"/>
      <c r="D3331" s="40"/>
      <c r="E3331" s="40"/>
      <c r="F3331" s="40"/>
    </row>
    <row r="3332" spans="1:6" ht="15.75" thickBot="1" x14ac:dyDescent="0.3">
      <c r="A3332" s="12" t="s">
        <v>42</v>
      </c>
      <c r="B3332" s="12" t="s">
        <v>43</v>
      </c>
      <c r="C3332" s="12" t="s">
        <v>44</v>
      </c>
      <c r="D3332" s="12" t="s">
        <v>45</v>
      </c>
      <c r="E3332" s="12" t="s">
        <v>46</v>
      </c>
      <c r="F3332" s="12" t="s">
        <v>47</v>
      </c>
    </row>
    <row r="3333" spans="1:6" x14ac:dyDescent="0.25">
      <c r="A3333" s="8">
        <v>45121510</v>
      </c>
      <c r="B3333" s="9" t="str">
        <f ca="1">IFERROR(INDEX(UNSPSCDes,MATCH(INDIRECT(ADDRESS(ROW(),COLUMN()-1,4)),UNSPSCCode,0)),"")</f>
        <v>Cámaras aéreas</v>
      </c>
      <c r="C3333" s="33" t="s">
        <v>55</v>
      </c>
      <c r="D3333" s="8">
        <v>2</v>
      </c>
      <c r="E3333" s="11">
        <v>750000</v>
      </c>
      <c r="F3333" s="10">
        <f ca="1">INDIRECT(ADDRESS(ROW(),COLUMN()-2,4))*INDIRECT(ADDRESS(ROW(),COLUMN()-1,4))</f>
        <v>1500000</v>
      </c>
    </row>
    <row r="3334" spans="1:6" x14ac:dyDescent="0.25">
      <c r="A3334" s="40"/>
      <c r="B3334" s="40"/>
      <c r="C3334" s="40"/>
      <c r="D3334" s="40"/>
      <c r="E3334" s="13" t="s">
        <v>87</v>
      </c>
      <c r="F3334" s="14">
        <f ca="1">SUM(Table3121[MONTO TOTAL ESTIMADO])</f>
        <v>1500000</v>
      </c>
    </row>
    <row r="3335" spans="1:6" ht="15.75" thickBot="1" x14ac:dyDescent="0.3">
      <c r="A3335" s="42"/>
      <c r="B3335" s="42"/>
      <c r="C3335" s="42"/>
      <c r="D3335" s="42"/>
      <c r="E3335" s="42"/>
      <c r="F3335" s="42"/>
    </row>
    <row r="3336" spans="1:6" ht="23.25" thickBot="1" x14ac:dyDescent="0.3">
      <c r="A3336" s="4" t="s">
        <v>19</v>
      </c>
      <c r="B3336" s="4" t="s">
        <v>20</v>
      </c>
      <c r="C3336" s="4" t="s">
        <v>21</v>
      </c>
      <c r="D3336" s="4" t="s">
        <v>22</v>
      </c>
      <c r="E3336" s="4" t="s">
        <v>23</v>
      </c>
      <c r="F3336" s="4" t="s">
        <v>24</v>
      </c>
    </row>
    <row r="3337" spans="1:6" ht="15.75" thickBot="1" x14ac:dyDescent="0.3">
      <c r="A3337" s="32" t="s">
        <v>462</v>
      </c>
      <c r="B3337" s="32" t="s">
        <v>463</v>
      </c>
      <c r="C3337" s="32" t="s">
        <v>27</v>
      </c>
      <c r="D3337" s="6" t="s">
        <v>28</v>
      </c>
      <c r="E3337" s="6" t="s">
        <v>262</v>
      </c>
      <c r="F3337" s="6"/>
    </row>
    <row r="3338" spans="1:6" ht="15.75" thickBot="1" x14ac:dyDescent="0.3">
      <c r="A3338" s="35" t="s">
        <v>31</v>
      </c>
      <c r="B3338" s="7" t="s">
        <v>32</v>
      </c>
      <c r="C3338" s="15">
        <v>45383</v>
      </c>
      <c r="D3338" s="35" t="s">
        <v>33</v>
      </c>
      <c r="E3338" s="7" t="s">
        <v>34</v>
      </c>
      <c r="F3338" s="6"/>
    </row>
    <row r="3339" spans="1:6" ht="15.75" thickBot="1" x14ac:dyDescent="0.3">
      <c r="A3339" s="36"/>
      <c r="B3339" s="7" t="s">
        <v>36</v>
      </c>
      <c r="C3339" s="5">
        <f>IF(C3338="","",IF(AND(MONTH(C3338)&gt;=1,MONTH(C3338)&lt;=3),1,IF(AND(MONTH(C3338)&gt;=4,MONTH(C3338)&lt;=6),2,IF(AND(MONTH(C3338)&gt;=7,MONTH(C3338)&lt;=9),3,4))))</f>
        <v>2</v>
      </c>
      <c r="D3339" s="36"/>
      <c r="E3339" s="7" t="s">
        <v>37</v>
      </c>
      <c r="F3339" s="6"/>
    </row>
    <row r="3340" spans="1:6" ht="15.75" thickBot="1" x14ac:dyDescent="0.3">
      <c r="A3340" s="36"/>
      <c r="B3340" s="7" t="s">
        <v>39</v>
      </c>
      <c r="C3340" s="15">
        <v>45473</v>
      </c>
      <c r="D3340" s="36"/>
      <c r="E3340" s="7" t="s">
        <v>40</v>
      </c>
      <c r="F3340" s="6"/>
    </row>
    <row r="3341" spans="1:6" ht="15.75" thickBot="1" x14ac:dyDescent="0.3">
      <c r="A3341" s="36"/>
      <c r="B3341" s="7" t="s">
        <v>36</v>
      </c>
      <c r="C3341" s="5">
        <f>IF(C3340="","",IF(AND(MONTH(C3340)&gt;=1,MONTH(C3340)&lt;=3),1,IF(AND(MONTH(C3340)&gt;=4,MONTH(C3340)&lt;=6),2,IF(AND(MONTH(C3340)&gt;=7,MONTH(C3340)&lt;=9),3,4))))</f>
        <v>2</v>
      </c>
      <c r="D3341" s="36"/>
      <c r="E3341" s="7" t="s">
        <v>41</v>
      </c>
      <c r="F3341" s="6"/>
    </row>
    <row r="3342" spans="1:6" ht="15.75" thickBot="1" x14ac:dyDescent="0.3">
      <c r="A3342" s="40"/>
      <c r="B3342" s="40"/>
      <c r="C3342" s="40"/>
      <c r="D3342" s="40"/>
      <c r="E3342" s="40"/>
      <c r="F3342" s="40"/>
    </row>
    <row r="3343" spans="1:6" ht="15.75" thickBot="1" x14ac:dyDescent="0.3">
      <c r="A3343" s="12" t="s">
        <v>42</v>
      </c>
      <c r="B3343" s="12" t="s">
        <v>43</v>
      </c>
      <c r="C3343" s="12" t="s">
        <v>44</v>
      </c>
      <c r="D3343" s="12" t="s">
        <v>45</v>
      </c>
      <c r="E3343" s="12" t="s">
        <v>46</v>
      </c>
      <c r="F3343" s="12" t="s">
        <v>47</v>
      </c>
    </row>
    <row r="3344" spans="1:6" x14ac:dyDescent="0.25">
      <c r="A3344" s="8">
        <v>50161509</v>
      </c>
      <c r="B3344" s="9" t="str">
        <f t="shared" ref="B3344:B3357" ca="1" si="23">IFERROR(INDEX(UNSPSCDes,MATCH(INDIRECT(ADDRESS(ROW(),COLUMN()-1,4)),UNSPSCCode,0)),"")</f>
        <v>Azucares naturales o productos endulzantes</v>
      </c>
      <c r="C3344" s="8" t="s">
        <v>74</v>
      </c>
      <c r="D3344" s="8">
        <v>500</v>
      </c>
      <c r="E3344" s="11">
        <v>83.78</v>
      </c>
      <c r="F3344" s="10">
        <f t="shared" ref="F3344:F3357" ca="1" si="24">INDIRECT(ADDRESS(ROW(),COLUMN()-2,4))*INDIRECT(ADDRESS(ROW(),COLUMN()-1,4))</f>
        <v>41890</v>
      </c>
    </row>
    <row r="3345" spans="1:6" x14ac:dyDescent="0.25">
      <c r="A3345" s="8">
        <v>50221101</v>
      </c>
      <c r="B3345" s="9" t="str">
        <f t="shared" ca="1" si="23"/>
        <v>Grano de cereal</v>
      </c>
      <c r="C3345" s="33" t="s">
        <v>74</v>
      </c>
      <c r="D3345" s="8">
        <v>500</v>
      </c>
      <c r="E3345" s="11">
        <v>231.38</v>
      </c>
      <c r="F3345" s="10">
        <f t="shared" ca="1" si="24"/>
        <v>115690</v>
      </c>
    </row>
    <row r="3346" spans="1:6" x14ac:dyDescent="0.25">
      <c r="A3346" s="8">
        <v>50151513</v>
      </c>
      <c r="B3346" s="9" t="str">
        <f t="shared" ca="1" si="23"/>
        <v>Aceites vegetales o  de planta comestibles</v>
      </c>
      <c r="C3346" s="8" t="s">
        <v>55</v>
      </c>
      <c r="D3346" s="8">
        <v>500</v>
      </c>
      <c r="E3346" s="11">
        <v>132.16</v>
      </c>
      <c r="F3346" s="10">
        <f t="shared" ca="1" si="24"/>
        <v>66080</v>
      </c>
    </row>
    <row r="3347" spans="1:6" x14ac:dyDescent="0.25">
      <c r="A3347" s="8">
        <v>50192111</v>
      </c>
      <c r="B3347" s="9" t="str">
        <f t="shared" ca="1" si="23"/>
        <v>Carne seca o procesada</v>
      </c>
      <c r="C3347" s="33" t="s">
        <v>55</v>
      </c>
      <c r="D3347" s="8">
        <v>500</v>
      </c>
      <c r="E3347" s="11">
        <v>619.5</v>
      </c>
      <c r="F3347" s="10">
        <f t="shared" ca="1" si="24"/>
        <v>309750</v>
      </c>
    </row>
    <row r="3348" spans="1:6" x14ac:dyDescent="0.25">
      <c r="A3348" s="8">
        <v>50201706</v>
      </c>
      <c r="B3348" s="9" t="str">
        <f t="shared" ca="1" si="23"/>
        <v>Café</v>
      </c>
      <c r="C3348" s="33" t="s">
        <v>74</v>
      </c>
      <c r="D3348" s="8">
        <v>500</v>
      </c>
      <c r="E3348" s="11">
        <v>188.8</v>
      </c>
      <c r="F3348" s="10">
        <f t="shared" ca="1" si="24"/>
        <v>94400</v>
      </c>
    </row>
    <row r="3349" spans="1:6" x14ac:dyDescent="0.25">
      <c r="A3349" s="8">
        <v>50171831</v>
      </c>
      <c r="B3349" s="9" t="str">
        <f t="shared" ca="1" si="23"/>
        <v>Salsas para cocinar</v>
      </c>
      <c r="C3349" s="33" t="s">
        <v>55</v>
      </c>
      <c r="D3349" s="8">
        <v>500</v>
      </c>
      <c r="E3349" s="11">
        <v>105.2</v>
      </c>
      <c r="F3349" s="10">
        <f t="shared" ca="1" si="24"/>
        <v>52600</v>
      </c>
    </row>
    <row r="3350" spans="1:6" x14ac:dyDescent="0.25">
      <c r="A3350" s="8">
        <v>50121538</v>
      </c>
      <c r="B3350" s="9" t="str">
        <f t="shared" ca="1" si="23"/>
        <v>Pescado almacenado en repisa</v>
      </c>
      <c r="C3350" s="33" t="s">
        <v>55</v>
      </c>
      <c r="D3350" s="8">
        <v>500</v>
      </c>
      <c r="E3350" s="11">
        <v>142.78</v>
      </c>
      <c r="F3350" s="10">
        <f t="shared" ca="1" si="24"/>
        <v>71390</v>
      </c>
    </row>
    <row r="3351" spans="1:6" x14ac:dyDescent="0.25">
      <c r="A3351" s="8">
        <v>50192902</v>
      </c>
      <c r="B3351" s="9" t="str">
        <f t="shared" ca="1" si="23"/>
        <v>Pasta o fideos de repisa</v>
      </c>
      <c r="C3351" s="33" t="s">
        <v>55</v>
      </c>
      <c r="D3351" s="8">
        <v>500</v>
      </c>
      <c r="E3351" s="11">
        <v>48.38</v>
      </c>
      <c r="F3351" s="10">
        <f t="shared" ca="1" si="24"/>
        <v>24190</v>
      </c>
    </row>
    <row r="3352" spans="1:6" x14ac:dyDescent="0.25">
      <c r="A3352" s="8">
        <v>50101543</v>
      </c>
      <c r="B3352" s="9" t="str">
        <f t="shared" ca="1" si="23"/>
        <v>Judías secas</v>
      </c>
      <c r="C3352" s="33" t="s">
        <v>55</v>
      </c>
      <c r="D3352" s="8">
        <v>500</v>
      </c>
      <c r="E3352" s="11">
        <v>178.18</v>
      </c>
      <c r="F3352" s="10">
        <f t="shared" ca="1" si="24"/>
        <v>89090</v>
      </c>
    </row>
    <row r="3353" spans="1:6" x14ac:dyDescent="0.25">
      <c r="A3353" s="8">
        <v>50131701</v>
      </c>
      <c r="B3353" s="9" t="str">
        <f t="shared" ca="1" si="23"/>
        <v>Productos de leche o mantequilla frescos</v>
      </c>
      <c r="C3353" s="33" t="s">
        <v>55</v>
      </c>
      <c r="D3353" s="8">
        <v>500</v>
      </c>
      <c r="E3353" s="11">
        <v>384.68</v>
      </c>
      <c r="F3353" s="10">
        <f t="shared" ca="1" si="24"/>
        <v>192340</v>
      </c>
    </row>
    <row r="3354" spans="1:6" x14ac:dyDescent="0.25">
      <c r="A3354" s="8">
        <v>50121538</v>
      </c>
      <c r="B3354" s="9" t="str">
        <f t="shared" ca="1" si="23"/>
        <v>Pescado almacenado en repisa</v>
      </c>
      <c r="C3354" s="33" t="s">
        <v>55</v>
      </c>
      <c r="D3354" s="8">
        <v>500</v>
      </c>
      <c r="E3354" s="11">
        <v>148.68</v>
      </c>
      <c r="F3354" s="10">
        <f t="shared" ca="1" si="24"/>
        <v>74340</v>
      </c>
    </row>
    <row r="3355" spans="1:6" x14ac:dyDescent="0.25">
      <c r="A3355" s="8">
        <v>50101542</v>
      </c>
      <c r="B3355" s="9" t="str">
        <f t="shared" ca="1" si="23"/>
        <v>Harina vegetal</v>
      </c>
      <c r="C3355" s="33" t="s">
        <v>55</v>
      </c>
      <c r="D3355" s="8">
        <v>500</v>
      </c>
      <c r="E3355" s="11">
        <v>34.22</v>
      </c>
      <c r="F3355" s="10">
        <f t="shared" ca="1" si="24"/>
        <v>17110</v>
      </c>
    </row>
    <row r="3356" spans="1:6" x14ac:dyDescent="0.25">
      <c r="A3356" s="8">
        <v>50161511</v>
      </c>
      <c r="B3356" s="9" t="str">
        <f t="shared" ca="1" si="23"/>
        <v>Chocolate o sustituto de chocolate</v>
      </c>
      <c r="C3356" s="33" t="s">
        <v>55</v>
      </c>
      <c r="D3356" s="8">
        <v>500</v>
      </c>
      <c r="E3356" s="11">
        <v>112.1</v>
      </c>
      <c r="F3356" s="10">
        <f t="shared" ca="1" si="24"/>
        <v>56050</v>
      </c>
    </row>
    <row r="3357" spans="1:6" x14ac:dyDescent="0.25">
      <c r="A3357" s="8">
        <v>50221101</v>
      </c>
      <c r="B3357" s="9" t="str">
        <f t="shared" ca="1" si="23"/>
        <v>Grano de cereal</v>
      </c>
      <c r="C3357" s="33" t="s">
        <v>55</v>
      </c>
      <c r="D3357" s="8">
        <v>500</v>
      </c>
      <c r="E3357" s="11">
        <v>113.28</v>
      </c>
      <c r="F3357" s="10">
        <f t="shared" ca="1" si="24"/>
        <v>56640</v>
      </c>
    </row>
    <row r="3358" spans="1:6" x14ac:dyDescent="0.25">
      <c r="A3358" s="40"/>
      <c r="B3358" s="40"/>
      <c r="C3358" s="40"/>
      <c r="D3358" s="40"/>
      <c r="E3358" s="13" t="s">
        <v>87</v>
      </c>
      <c r="F3358" s="14">
        <f ca="1">SUM(Table3122[MONTO TOTAL ESTIMADO])</f>
        <v>1261560</v>
      </c>
    </row>
    <row r="3359" spans="1:6" ht="15.75" thickBot="1" x14ac:dyDescent="0.3">
      <c r="A3359" s="42"/>
      <c r="B3359" s="42"/>
      <c r="C3359" s="42"/>
      <c r="D3359" s="42"/>
      <c r="E3359" s="42"/>
      <c r="F3359" s="42"/>
    </row>
    <row r="3360" spans="1:6" ht="23.25" thickBot="1" x14ac:dyDescent="0.3">
      <c r="A3360" s="4" t="s">
        <v>19</v>
      </c>
      <c r="B3360" s="4" t="s">
        <v>20</v>
      </c>
      <c r="C3360" s="4" t="s">
        <v>21</v>
      </c>
      <c r="D3360" s="4" t="s">
        <v>22</v>
      </c>
      <c r="E3360" s="4" t="s">
        <v>23</v>
      </c>
      <c r="F3360" s="4" t="s">
        <v>24</v>
      </c>
    </row>
    <row r="3361" spans="1:6" ht="15.75" thickBot="1" x14ac:dyDescent="0.3">
      <c r="A3361" s="32" t="s">
        <v>472</v>
      </c>
      <c r="B3361" s="32" t="s">
        <v>473</v>
      </c>
      <c r="C3361" s="32" t="s">
        <v>27</v>
      </c>
      <c r="D3361" s="6" t="s">
        <v>28</v>
      </c>
      <c r="E3361" s="6" t="s">
        <v>262</v>
      </c>
      <c r="F3361" s="6"/>
    </row>
    <row r="3362" spans="1:6" ht="15.75" thickBot="1" x14ac:dyDescent="0.3">
      <c r="A3362" s="35" t="s">
        <v>31</v>
      </c>
      <c r="B3362" s="7" t="s">
        <v>32</v>
      </c>
      <c r="C3362" s="15">
        <v>45383</v>
      </c>
      <c r="D3362" s="35" t="s">
        <v>33</v>
      </c>
      <c r="E3362" s="7" t="s">
        <v>34</v>
      </c>
      <c r="F3362" s="6"/>
    </row>
    <row r="3363" spans="1:6" ht="15.75" thickBot="1" x14ac:dyDescent="0.3">
      <c r="A3363" s="36"/>
      <c r="B3363" s="7" t="s">
        <v>36</v>
      </c>
      <c r="C3363" s="5">
        <f>IF(C3362="","",IF(AND(MONTH(C3362)&gt;=1,MONTH(C3362)&lt;=3),1,IF(AND(MONTH(C3362)&gt;=4,MONTH(C3362)&lt;=6),2,IF(AND(MONTH(C3362)&gt;=7,MONTH(C3362)&lt;=9),3,4))))</f>
        <v>2</v>
      </c>
      <c r="D3363" s="36"/>
      <c r="E3363" s="7" t="s">
        <v>37</v>
      </c>
      <c r="F3363" s="6"/>
    </row>
    <row r="3364" spans="1:6" ht="15.75" thickBot="1" x14ac:dyDescent="0.3">
      <c r="A3364" s="36"/>
      <c r="B3364" s="7" t="s">
        <v>39</v>
      </c>
      <c r="C3364" s="15">
        <v>45473</v>
      </c>
      <c r="D3364" s="36"/>
      <c r="E3364" s="7" t="s">
        <v>40</v>
      </c>
      <c r="F3364" s="6"/>
    </row>
    <row r="3365" spans="1:6" ht="15.75" thickBot="1" x14ac:dyDescent="0.3">
      <c r="A3365" s="36"/>
      <c r="B3365" s="7" t="s">
        <v>36</v>
      </c>
      <c r="C3365" s="5">
        <f>IF(C3364="","",IF(AND(MONTH(C3364)&gt;=1,MONTH(C3364)&lt;=3),1,IF(AND(MONTH(C3364)&gt;=4,MONTH(C3364)&lt;=6),2,IF(AND(MONTH(C3364)&gt;=7,MONTH(C3364)&lt;=9),3,4))))</f>
        <v>2</v>
      </c>
      <c r="D3365" s="36"/>
      <c r="E3365" s="7" t="s">
        <v>41</v>
      </c>
      <c r="F3365" s="6"/>
    </row>
    <row r="3366" spans="1:6" ht="15.75" thickBot="1" x14ac:dyDescent="0.3">
      <c r="A3366" s="40"/>
      <c r="B3366" s="40"/>
      <c r="C3366" s="40"/>
      <c r="D3366" s="40"/>
      <c r="E3366" s="40"/>
      <c r="F3366" s="40"/>
    </row>
    <row r="3367" spans="1:6" ht="15.75" thickBot="1" x14ac:dyDescent="0.3">
      <c r="A3367" s="12" t="s">
        <v>42</v>
      </c>
      <c r="B3367" s="12" t="s">
        <v>43</v>
      </c>
      <c r="C3367" s="12" t="s">
        <v>44</v>
      </c>
      <c r="D3367" s="12" t="s">
        <v>45</v>
      </c>
      <c r="E3367" s="12" t="s">
        <v>46</v>
      </c>
      <c r="F3367" s="12" t="s">
        <v>47</v>
      </c>
    </row>
    <row r="3368" spans="1:6" x14ac:dyDescent="0.25">
      <c r="A3368" s="8">
        <v>45121504</v>
      </c>
      <c r="B3368" s="9" t="str">
        <f ca="1">IFERROR(INDEX(UNSPSCDes,MATCH(INDIRECT(ADDRESS(ROW(),COLUMN()-1,4)),UNSPSCCode,0)),"")</f>
        <v>Cámaras digitales</v>
      </c>
      <c r="C3368" s="33" t="s">
        <v>55</v>
      </c>
      <c r="D3368" s="8">
        <v>2</v>
      </c>
      <c r="E3368" s="11">
        <v>400050.44</v>
      </c>
      <c r="F3368" s="10">
        <f ca="1">INDIRECT(ADDRESS(ROW(),COLUMN()-2,4))*INDIRECT(ADDRESS(ROW(),COLUMN()-1,4))</f>
        <v>800100.88</v>
      </c>
    </row>
    <row r="3369" spans="1:6" x14ac:dyDescent="0.25">
      <c r="A3369" s="8">
        <v>46171610</v>
      </c>
      <c r="B3369" s="9" t="str">
        <f ca="1">IFERROR(INDEX(UNSPSCDes,MATCH(INDIRECT(ADDRESS(ROW(),COLUMN()-1,4)),UNSPSCCode,0)),"")</f>
        <v>Cámaras de seguridad</v>
      </c>
      <c r="C3369" s="33" t="s">
        <v>55</v>
      </c>
      <c r="D3369" s="8">
        <v>5</v>
      </c>
      <c r="E3369" s="11">
        <v>35000</v>
      </c>
      <c r="F3369" s="10">
        <f ca="1">INDIRECT(ADDRESS(ROW(),COLUMN()-2,4))*INDIRECT(ADDRESS(ROW(),COLUMN()-1,4))</f>
        <v>175000</v>
      </c>
    </row>
    <row r="3370" spans="1:6" x14ac:dyDescent="0.25">
      <c r="A3370" s="8">
        <v>45121516</v>
      </c>
      <c r="B3370" s="9" t="str">
        <f ca="1">IFERROR(INDEX(UNSPSCDes,MATCH(INDIRECT(ADDRESS(ROW(),COLUMN()-1,4)),UNSPSCCode,0)),"")</f>
        <v>Cámaras grabadoras o video cámaras digitales</v>
      </c>
      <c r="C3370" s="33" t="s">
        <v>55</v>
      </c>
      <c r="D3370" s="8">
        <v>20</v>
      </c>
      <c r="E3370" s="11">
        <v>22000</v>
      </c>
      <c r="F3370" s="10">
        <f ca="1">INDIRECT(ADDRESS(ROW(),COLUMN()-2,4))*INDIRECT(ADDRESS(ROW(),COLUMN()-1,4))</f>
        <v>440000</v>
      </c>
    </row>
    <row r="3371" spans="1:6" x14ac:dyDescent="0.25">
      <c r="A3371" s="8">
        <v>45121516</v>
      </c>
      <c r="B3371" s="9" t="str">
        <f ca="1">IFERROR(INDEX(UNSPSCDes,MATCH(INDIRECT(ADDRESS(ROW(),COLUMN()-1,4)),UNSPSCCode,0)),"")</f>
        <v>Cámaras grabadoras o video cámaras digitales</v>
      </c>
      <c r="C3371" s="33" t="s">
        <v>55</v>
      </c>
      <c r="D3371" s="8">
        <v>20</v>
      </c>
      <c r="E3371" s="11">
        <v>15000</v>
      </c>
      <c r="F3371" s="10">
        <f ca="1">INDIRECT(ADDRESS(ROW(),COLUMN()-2,4))*INDIRECT(ADDRESS(ROW(),COLUMN()-1,4))</f>
        <v>300000</v>
      </c>
    </row>
    <row r="3372" spans="1:6" x14ac:dyDescent="0.25">
      <c r="A3372" s="40"/>
      <c r="B3372" s="40"/>
      <c r="C3372" s="40"/>
      <c r="D3372" s="40"/>
      <c r="E3372" s="13" t="s">
        <v>87</v>
      </c>
      <c r="F3372" s="14">
        <f ca="1">SUM(Table3125[MONTO TOTAL ESTIMADO])</f>
        <v>1715100.88</v>
      </c>
    </row>
    <row r="3373" spans="1:6" ht="15.75" thickBot="1" x14ac:dyDescent="0.3">
      <c r="A3373" s="42"/>
      <c r="B3373" s="42"/>
      <c r="C3373" s="42"/>
      <c r="D3373" s="42"/>
      <c r="E3373" s="42"/>
      <c r="F3373" s="42"/>
    </row>
    <row r="3374" spans="1:6" ht="23.25" thickBot="1" x14ac:dyDescent="0.3">
      <c r="A3374" s="4" t="s">
        <v>19</v>
      </c>
      <c r="B3374" s="4" t="s">
        <v>20</v>
      </c>
      <c r="C3374" s="4" t="s">
        <v>21</v>
      </c>
      <c r="D3374" s="4" t="s">
        <v>22</v>
      </c>
      <c r="E3374" s="4" t="s">
        <v>23</v>
      </c>
      <c r="F3374" s="4" t="s">
        <v>24</v>
      </c>
    </row>
    <row r="3375" spans="1:6" ht="15.75" thickBot="1" x14ac:dyDescent="0.3">
      <c r="A3375" s="32" t="s">
        <v>462</v>
      </c>
      <c r="B3375" s="32" t="s">
        <v>463</v>
      </c>
      <c r="C3375" s="6" t="s">
        <v>27</v>
      </c>
      <c r="D3375" s="6" t="s">
        <v>28</v>
      </c>
      <c r="E3375" s="6" t="s">
        <v>262</v>
      </c>
      <c r="F3375" s="6"/>
    </row>
    <row r="3376" spans="1:6" ht="15.75" thickBot="1" x14ac:dyDescent="0.3">
      <c r="A3376" s="35" t="s">
        <v>31</v>
      </c>
      <c r="B3376" s="7" t="s">
        <v>32</v>
      </c>
      <c r="C3376" s="15">
        <v>45383</v>
      </c>
      <c r="D3376" s="35" t="s">
        <v>33</v>
      </c>
      <c r="E3376" s="7" t="s">
        <v>34</v>
      </c>
      <c r="F3376" s="6"/>
    </row>
    <row r="3377" spans="1:6" ht="15.75" thickBot="1" x14ac:dyDescent="0.3">
      <c r="A3377" s="36"/>
      <c r="B3377" s="7" t="s">
        <v>36</v>
      </c>
      <c r="C3377" s="5">
        <f>IF(C3376="","",IF(AND(MONTH(C3376)&gt;=1,MONTH(C3376)&lt;=3),1,IF(AND(MONTH(C3376)&gt;=4,MONTH(C3376)&lt;=6),2,IF(AND(MONTH(C3376)&gt;=7,MONTH(C3376)&lt;=9),3,4))))</f>
        <v>2</v>
      </c>
      <c r="D3377" s="36"/>
      <c r="E3377" s="7" t="s">
        <v>37</v>
      </c>
      <c r="F3377" s="6"/>
    </row>
    <row r="3378" spans="1:6" ht="15.75" thickBot="1" x14ac:dyDescent="0.3">
      <c r="A3378" s="36"/>
      <c r="B3378" s="7" t="s">
        <v>39</v>
      </c>
      <c r="C3378" s="15">
        <v>45473</v>
      </c>
      <c r="D3378" s="36"/>
      <c r="E3378" s="7" t="s">
        <v>40</v>
      </c>
      <c r="F3378" s="6"/>
    </row>
    <row r="3379" spans="1:6" ht="15.75" thickBot="1" x14ac:dyDescent="0.3">
      <c r="A3379" s="36"/>
      <c r="B3379" s="7" t="s">
        <v>36</v>
      </c>
      <c r="C3379" s="5">
        <f>IF(C3378="","",IF(AND(MONTH(C3378)&gt;=1,MONTH(C3378)&lt;=3),1,IF(AND(MONTH(C3378)&gt;=4,MONTH(C3378)&lt;=6),2,IF(AND(MONTH(C3378)&gt;=7,MONTH(C3378)&lt;=9),3,4))))</f>
        <v>2</v>
      </c>
      <c r="D3379" s="36"/>
      <c r="E3379" s="7" t="s">
        <v>41</v>
      </c>
      <c r="F3379" s="6"/>
    </row>
    <row r="3380" spans="1:6" ht="15.75" thickBot="1" x14ac:dyDescent="0.3">
      <c r="A3380" s="40"/>
      <c r="B3380" s="40"/>
      <c r="C3380" s="40"/>
      <c r="D3380" s="40"/>
      <c r="E3380" s="40"/>
      <c r="F3380" s="40"/>
    </row>
    <row r="3381" spans="1:6" ht="15.75" thickBot="1" x14ac:dyDescent="0.3">
      <c r="A3381" s="12" t="s">
        <v>42</v>
      </c>
      <c r="B3381" s="12" t="s">
        <v>43</v>
      </c>
      <c r="C3381" s="12" t="s">
        <v>44</v>
      </c>
      <c r="D3381" s="12" t="s">
        <v>45</v>
      </c>
      <c r="E3381" s="12" t="s">
        <v>46</v>
      </c>
      <c r="F3381" s="12" t="s">
        <v>47</v>
      </c>
    </row>
    <row r="3382" spans="1:6" x14ac:dyDescent="0.25">
      <c r="A3382" s="8">
        <v>50161509</v>
      </c>
      <c r="B3382" s="9" t="str">
        <f t="shared" ref="B3382:B3395" ca="1" si="25">IFERROR(INDEX(UNSPSCDes,MATCH(INDIRECT(ADDRESS(ROW(),COLUMN()-1,4)),UNSPSCCode,0)),"")</f>
        <v>Azucares naturales o productos endulzantes</v>
      </c>
      <c r="C3382" s="8" t="s">
        <v>74</v>
      </c>
      <c r="D3382" s="8">
        <v>500</v>
      </c>
      <c r="E3382" s="11">
        <v>83.78</v>
      </c>
      <c r="F3382" s="10">
        <f t="shared" ref="F3382:F3395" ca="1" si="26">INDIRECT(ADDRESS(ROW(),COLUMN()-2,4))*INDIRECT(ADDRESS(ROW(),COLUMN()-1,4))</f>
        <v>41890</v>
      </c>
    </row>
    <row r="3383" spans="1:6" x14ac:dyDescent="0.25">
      <c r="A3383" s="8">
        <v>50221101</v>
      </c>
      <c r="B3383" s="9" t="str">
        <f t="shared" ca="1" si="25"/>
        <v>Grano de cereal</v>
      </c>
      <c r="C3383" s="33" t="s">
        <v>74</v>
      </c>
      <c r="D3383" s="8">
        <v>500</v>
      </c>
      <c r="E3383" s="11">
        <v>231.38</v>
      </c>
      <c r="F3383" s="10">
        <f t="shared" ca="1" si="26"/>
        <v>115690</v>
      </c>
    </row>
    <row r="3384" spans="1:6" x14ac:dyDescent="0.25">
      <c r="A3384" s="8">
        <v>50151513</v>
      </c>
      <c r="B3384" s="9" t="str">
        <f t="shared" ca="1" si="25"/>
        <v>Aceites vegetales o  de planta comestibles</v>
      </c>
      <c r="C3384" s="33" t="s">
        <v>55</v>
      </c>
      <c r="D3384" s="8">
        <v>500</v>
      </c>
      <c r="E3384" s="11">
        <v>132.16</v>
      </c>
      <c r="F3384" s="10">
        <f t="shared" ca="1" si="26"/>
        <v>66080</v>
      </c>
    </row>
    <row r="3385" spans="1:6" x14ac:dyDescent="0.25">
      <c r="A3385" s="8">
        <v>50192111</v>
      </c>
      <c r="B3385" s="9" t="str">
        <f t="shared" ca="1" si="25"/>
        <v>Carne seca o procesada</v>
      </c>
      <c r="C3385" s="33" t="s">
        <v>55</v>
      </c>
      <c r="D3385" s="8">
        <v>500</v>
      </c>
      <c r="E3385" s="11">
        <v>619.5</v>
      </c>
      <c r="F3385" s="10">
        <f t="shared" ca="1" si="26"/>
        <v>309750</v>
      </c>
    </row>
    <row r="3386" spans="1:6" x14ac:dyDescent="0.25">
      <c r="A3386" s="8">
        <v>50201706</v>
      </c>
      <c r="B3386" s="9" t="str">
        <f t="shared" ca="1" si="25"/>
        <v>Café</v>
      </c>
      <c r="C3386" s="33" t="s">
        <v>74</v>
      </c>
      <c r="D3386" s="8">
        <v>500</v>
      </c>
      <c r="E3386" s="11">
        <v>188.8</v>
      </c>
      <c r="F3386" s="10">
        <f t="shared" ca="1" si="26"/>
        <v>94400</v>
      </c>
    </row>
    <row r="3387" spans="1:6" x14ac:dyDescent="0.25">
      <c r="A3387" s="8">
        <v>50171831</v>
      </c>
      <c r="B3387" s="9" t="str">
        <f t="shared" ca="1" si="25"/>
        <v>Salsas para cocinar</v>
      </c>
      <c r="C3387" s="33" t="s">
        <v>55</v>
      </c>
      <c r="D3387" s="8">
        <v>500</v>
      </c>
      <c r="E3387" s="11">
        <v>105.2</v>
      </c>
      <c r="F3387" s="10">
        <f t="shared" ca="1" si="26"/>
        <v>52600</v>
      </c>
    </row>
    <row r="3388" spans="1:6" x14ac:dyDescent="0.25">
      <c r="A3388" s="8">
        <v>50121538</v>
      </c>
      <c r="B3388" s="9" t="str">
        <f t="shared" ca="1" si="25"/>
        <v>Pescado almacenado en repisa</v>
      </c>
      <c r="C3388" s="33" t="s">
        <v>55</v>
      </c>
      <c r="D3388" s="8">
        <v>500</v>
      </c>
      <c r="E3388" s="11">
        <v>142.78</v>
      </c>
      <c r="F3388" s="10">
        <f t="shared" ca="1" si="26"/>
        <v>71390</v>
      </c>
    </row>
    <row r="3389" spans="1:6" x14ac:dyDescent="0.25">
      <c r="A3389" s="8">
        <v>50192902</v>
      </c>
      <c r="B3389" s="9" t="str">
        <f t="shared" ca="1" si="25"/>
        <v>Pasta o fideos de repisa</v>
      </c>
      <c r="C3389" s="33" t="s">
        <v>55</v>
      </c>
      <c r="D3389" s="8">
        <v>500</v>
      </c>
      <c r="E3389" s="11">
        <v>48.38</v>
      </c>
      <c r="F3389" s="10">
        <f t="shared" ca="1" si="26"/>
        <v>24190</v>
      </c>
    </row>
    <row r="3390" spans="1:6" x14ac:dyDescent="0.25">
      <c r="A3390" s="8">
        <v>50101543</v>
      </c>
      <c r="B3390" s="9" t="str">
        <f t="shared" ca="1" si="25"/>
        <v>Judías secas</v>
      </c>
      <c r="C3390" s="33" t="s">
        <v>55</v>
      </c>
      <c r="D3390" s="8">
        <v>500</v>
      </c>
      <c r="E3390" s="11">
        <v>178.18</v>
      </c>
      <c r="F3390" s="10">
        <f t="shared" ca="1" si="26"/>
        <v>89090</v>
      </c>
    </row>
    <row r="3391" spans="1:6" x14ac:dyDescent="0.25">
      <c r="A3391" s="8">
        <v>50131701</v>
      </c>
      <c r="B3391" s="9" t="str">
        <f t="shared" ca="1" si="25"/>
        <v>Productos de leche o mantequilla frescos</v>
      </c>
      <c r="C3391" s="33" t="s">
        <v>55</v>
      </c>
      <c r="D3391" s="8">
        <v>500</v>
      </c>
      <c r="E3391" s="11">
        <v>384.68</v>
      </c>
      <c r="F3391" s="10">
        <f t="shared" ca="1" si="26"/>
        <v>192340</v>
      </c>
    </row>
    <row r="3392" spans="1:6" x14ac:dyDescent="0.25">
      <c r="A3392" s="8">
        <v>50121538</v>
      </c>
      <c r="B3392" s="9" t="str">
        <f t="shared" ca="1" si="25"/>
        <v>Pescado almacenado en repisa</v>
      </c>
      <c r="C3392" s="33" t="s">
        <v>55</v>
      </c>
      <c r="D3392" s="8">
        <v>500</v>
      </c>
      <c r="E3392" s="11">
        <v>148.68</v>
      </c>
      <c r="F3392" s="10">
        <f t="shared" ca="1" si="26"/>
        <v>74340</v>
      </c>
    </row>
    <row r="3393" spans="1:6" x14ac:dyDescent="0.25">
      <c r="A3393" s="8">
        <v>50101542</v>
      </c>
      <c r="B3393" s="9" t="str">
        <f t="shared" ca="1" si="25"/>
        <v>Harina vegetal</v>
      </c>
      <c r="C3393" s="33" t="s">
        <v>55</v>
      </c>
      <c r="D3393" s="8">
        <v>500</v>
      </c>
      <c r="E3393" s="11">
        <v>34.22</v>
      </c>
      <c r="F3393" s="10">
        <f t="shared" ca="1" si="26"/>
        <v>17110</v>
      </c>
    </row>
    <row r="3394" spans="1:6" x14ac:dyDescent="0.25">
      <c r="A3394" s="8">
        <v>50161511</v>
      </c>
      <c r="B3394" s="9" t="str">
        <f t="shared" ca="1" si="25"/>
        <v>Chocolate o sustituto de chocolate</v>
      </c>
      <c r="C3394" s="33" t="s">
        <v>55</v>
      </c>
      <c r="D3394" s="8">
        <v>500</v>
      </c>
      <c r="E3394" s="11">
        <v>112.1</v>
      </c>
      <c r="F3394" s="10">
        <f t="shared" ca="1" si="26"/>
        <v>56050</v>
      </c>
    </row>
    <row r="3395" spans="1:6" x14ac:dyDescent="0.25">
      <c r="A3395" s="8">
        <v>50221101</v>
      </c>
      <c r="B3395" s="9" t="str">
        <f t="shared" ca="1" si="25"/>
        <v>Grano de cereal</v>
      </c>
      <c r="C3395" s="33" t="s">
        <v>55</v>
      </c>
      <c r="D3395" s="8">
        <v>500</v>
      </c>
      <c r="E3395" s="11">
        <v>113.28</v>
      </c>
      <c r="F3395" s="10">
        <f t="shared" ca="1" si="26"/>
        <v>56640</v>
      </c>
    </row>
    <row r="3396" spans="1:6" x14ac:dyDescent="0.25">
      <c r="A3396" s="40"/>
      <c r="B3396" s="40"/>
      <c r="C3396" s="40"/>
      <c r="D3396" s="40"/>
      <c r="E3396" s="13" t="s">
        <v>87</v>
      </c>
      <c r="F3396" s="14">
        <f ca="1">SUM(Table3126[MONTO TOTAL ESTIMADO])</f>
        <v>1261560</v>
      </c>
    </row>
    <row r="3397" spans="1:6" ht="15.75" thickBot="1" x14ac:dyDescent="0.3">
      <c r="A3397" s="42"/>
      <c r="B3397" s="42"/>
      <c r="C3397" s="42"/>
      <c r="D3397" s="42"/>
      <c r="E3397" s="42"/>
      <c r="F3397" s="42"/>
    </row>
    <row r="3398" spans="1:6" ht="23.25" thickBot="1" x14ac:dyDescent="0.3">
      <c r="A3398" s="4" t="s">
        <v>19</v>
      </c>
      <c r="B3398" s="4" t="s">
        <v>20</v>
      </c>
      <c r="C3398" s="4" t="s">
        <v>21</v>
      </c>
      <c r="D3398" s="4" t="s">
        <v>22</v>
      </c>
      <c r="E3398" s="4" t="s">
        <v>23</v>
      </c>
      <c r="F3398" s="4" t="s">
        <v>24</v>
      </c>
    </row>
    <row r="3399" spans="1:6" ht="15.75" thickBot="1" x14ac:dyDescent="0.3">
      <c r="A3399" s="32" t="s">
        <v>477</v>
      </c>
      <c r="B3399" s="32" t="s">
        <v>478</v>
      </c>
      <c r="C3399" s="32" t="s">
        <v>27</v>
      </c>
      <c r="D3399" s="6" t="s">
        <v>28</v>
      </c>
      <c r="E3399" s="6" t="s">
        <v>262</v>
      </c>
      <c r="F3399" s="6"/>
    </row>
    <row r="3400" spans="1:6" ht="15.75" thickBot="1" x14ac:dyDescent="0.3">
      <c r="A3400" s="35" t="s">
        <v>31</v>
      </c>
      <c r="B3400" s="7" t="s">
        <v>32</v>
      </c>
      <c r="C3400" s="15">
        <v>45383</v>
      </c>
      <c r="D3400" s="35" t="s">
        <v>33</v>
      </c>
      <c r="E3400" s="7" t="s">
        <v>34</v>
      </c>
      <c r="F3400" s="6"/>
    </row>
    <row r="3401" spans="1:6" ht="15.75" thickBot="1" x14ac:dyDescent="0.3">
      <c r="A3401" s="36"/>
      <c r="B3401" s="7" t="s">
        <v>36</v>
      </c>
      <c r="C3401" s="5">
        <f>IF(C3400="","",IF(AND(MONTH(C3400)&gt;=1,MONTH(C3400)&lt;=3),1,IF(AND(MONTH(C3400)&gt;=4,MONTH(C3400)&lt;=6),2,IF(AND(MONTH(C3400)&gt;=7,MONTH(C3400)&lt;=9),3,4))))</f>
        <v>2</v>
      </c>
      <c r="D3401" s="36"/>
      <c r="E3401" s="7" t="s">
        <v>37</v>
      </c>
      <c r="F3401" s="6"/>
    </row>
    <row r="3402" spans="1:6" ht="15.75" thickBot="1" x14ac:dyDescent="0.3">
      <c r="A3402" s="36"/>
      <c r="B3402" s="7" t="s">
        <v>39</v>
      </c>
      <c r="C3402" s="15">
        <v>45473</v>
      </c>
      <c r="D3402" s="36"/>
      <c r="E3402" s="7" t="s">
        <v>40</v>
      </c>
      <c r="F3402" s="6"/>
    </row>
    <row r="3403" spans="1:6" ht="15.75" thickBot="1" x14ac:dyDescent="0.3">
      <c r="A3403" s="36"/>
      <c r="B3403" s="7" t="s">
        <v>36</v>
      </c>
      <c r="C3403" s="5">
        <f>IF(C3402="","",IF(AND(MONTH(C3402)&gt;=1,MONTH(C3402)&lt;=3),1,IF(AND(MONTH(C3402)&gt;=4,MONTH(C3402)&lt;=6),2,IF(AND(MONTH(C3402)&gt;=7,MONTH(C3402)&lt;=9),3,4))))</f>
        <v>2</v>
      </c>
      <c r="D3403" s="36"/>
      <c r="E3403" s="7" t="s">
        <v>41</v>
      </c>
      <c r="F3403" s="6"/>
    </row>
    <row r="3404" spans="1:6" ht="15.75" thickBot="1" x14ac:dyDescent="0.3">
      <c r="A3404" s="40"/>
      <c r="B3404" s="40"/>
      <c r="C3404" s="40"/>
      <c r="D3404" s="40"/>
      <c r="E3404" s="40"/>
      <c r="F3404" s="40"/>
    </row>
    <row r="3405" spans="1:6" ht="15.75" thickBot="1" x14ac:dyDescent="0.3">
      <c r="A3405" s="12" t="s">
        <v>42</v>
      </c>
      <c r="B3405" s="12" t="s">
        <v>43</v>
      </c>
      <c r="C3405" s="12" t="s">
        <v>44</v>
      </c>
      <c r="D3405" s="12" t="s">
        <v>45</v>
      </c>
      <c r="E3405" s="12" t="s">
        <v>46</v>
      </c>
      <c r="F3405" s="12" t="s">
        <v>47</v>
      </c>
    </row>
    <row r="3406" spans="1:6" x14ac:dyDescent="0.25">
      <c r="A3406" s="8">
        <v>52161518</v>
      </c>
      <c r="B3406" s="9" t="str">
        <f ca="1">IFERROR(INDEX(UNSPSCDes,MATCH(INDIRECT(ADDRESS(ROW(),COLUMN()-1,4)),UNSPSCCode,0)),"")</f>
        <v>Receptores de sistemas de posicionamiento global</v>
      </c>
      <c r="C3406" s="33" t="s">
        <v>55</v>
      </c>
      <c r="D3406" s="8">
        <v>30</v>
      </c>
      <c r="E3406" s="11">
        <v>16000</v>
      </c>
      <c r="F3406" s="10">
        <f ca="1">INDIRECT(ADDRESS(ROW(),COLUMN()-2,4))*INDIRECT(ADDRESS(ROW(),COLUMN()-1,4))</f>
        <v>480000</v>
      </c>
    </row>
    <row r="3407" spans="1:6" x14ac:dyDescent="0.25">
      <c r="A3407" s="8">
        <v>46171621</v>
      </c>
      <c r="B3407" s="9" t="str">
        <f ca="1">IFERROR(INDEX(UNSPSCDes,MATCH(INDIRECT(ADDRESS(ROW(),COLUMN()-1,4)),UNSPSCCode,0)),"")</f>
        <v>Grabadoras de video o audio de vigilancia</v>
      </c>
      <c r="C3407" s="33" t="s">
        <v>55</v>
      </c>
      <c r="D3407" s="8">
        <v>20</v>
      </c>
      <c r="E3407" s="11">
        <v>32000</v>
      </c>
      <c r="F3407" s="10">
        <f ca="1">INDIRECT(ADDRESS(ROW(),COLUMN()-2,4))*INDIRECT(ADDRESS(ROW(),COLUMN()-1,4))</f>
        <v>640000</v>
      </c>
    </row>
    <row r="3408" spans="1:6" x14ac:dyDescent="0.25">
      <c r="A3408" s="40"/>
      <c r="B3408" s="40"/>
      <c r="C3408" s="40"/>
      <c r="D3408" s="40"/>
      <c r="E3408" s="13" t="s">
        <v>87</v>
      </c>
      <c r="F3408" s="14">
        <f ca="1">SUM(Table3127[MONTO TOTAL ESTIMADO])</f>
        <v>1120000</v>
      </c>
    </row>
    <row r="3409" spans="1:6" ht="15.75" thickBot="1" x14ac:dyDescent="0.3">
      <c r="A3409" s="42"/>
      <c r="B3409" s="42"/>
      <c r="C3409" s="42"/>
      <c r="D3409" s="42"/>
      <c r="E3409" s="42"/>
      <c r="F3409" s="42"/>
    </row>
    <row r="3410" spans="1:6" ht="23.25" thickBot="1" x14ac:dyDescent="0.3">
      <c r="A3410" s="4" t="s">
        <v>19</v>
      </c>
      <c r="B3410" s="4" t="s">
        <v>20</v>
      </c>
      <c r="C3410" s="4" t="s">
        <v>21</v>
      </c>
      <c r="D3410" s="4" t="s">
        <v>22</v>
      </c>
      <c r="E3410" s="4" t="s">
        <v>23</v>
      </c>
      <c r="F3410" s="4" t="s">
        <v>24</v>
      </c>
    </row>
    <row r="3411" spans="1:6" ht="15.75" thickBot="1" x14ac:dyDescent="0.3">
      <c r="A3411" s="32" t="s">
        <v>462</v>
      </c>
      <c r="B3411" s="32" t="s">
        <v>463</v>
      </c>
      <c r="C3411" s="32" t="s">
        <v>27</v>
      </c>
      <c r="D3411" s="6" t="s">
        <v>28</v>
      </c>
      <c r="E3411" s="6" t="s">
        <v>262</v>
      </c>
      <c r="F3411" s="6"/>
    </row>
    <row r="3412" spans="1:6" ht="15.75" thickBot="1" x14ac:dyDescent="0.3">
      <c r="A3412" s="35" t="s">
        <v>31</v>
      </c>
      <c r="B3412" s="7" t="s">
        <v>32</v>
      </c>
      <c r="C3412" s="15">
        <v>45383</v>
      </c>
      <c r="D3412" s="35" t="s">
        <v>33</v>
      </c>
      <c r="E3412" s="7" t="s">
        <v>34</v>
      </c>
      <c r="F3412" s="6"/>
    </row>
    <row r="3413" spans="1:6" ht="15.75" thickBot="1" x14ac:dyDescent="0.3">
      <c r="A3413" s="36"/>
      <c r="B3413" s="7" t="s">
        <v>36</v>
      </c>
      <c r="C3413" s="5">
        <f>IF(C3412="","",IF(AND(MONTH(C3412)&gt;=1,MONTH(C3412)&lt;=3),1,IF(AND(MONTH(C3412)&gt;=4,MONTH(C3412)&lt;=6),2,IF(AND(MONTH(C3412)&gt;=7,MONTH(C3412)&lt;=9),3,4))))</f>
        <v>2</v>
      </c>
      <c r="D3413" s="36"/>
      <c r="E3413" s="7" t="s">
        <v>37</v>
      </c>
      <c r="F3413" s="6"/>
    </row>
    <row r="3414" spans="1:6" ht="15.75" thickBot="1" x14ac:dyDescent="0.3">
      <c r="A3414" s="36"/>
      <c r="B3414" s="7" t="s">
        <v>39</v>
      </c>
      <c r="C3414" s="15">
        <v>45473</v>
      </c>
      <c r="D3414" s="36"/>
      <c r="E3414" s="7" t="s">
        <v>40</v>
      </c>
      <c r="F3414" s="6"/>
    </row>
    <row r="3415" spans="1:6" ht="15.75" thickBot="1" x14ac:dyDescent="0.3">
      <c r="A3415" s="36"/>
      <c r="B3415" s="7" t="s">
        <v>36</v>
      </c>
      <c r="C3415" s="5">
        <f>IF(C3414="","",IF(AND(MONTH(C3414)&gt;=1,MONTH(C3414)&lt;=3),1,IF(AND(MONTH(C3414)&gt;=4,MONTH(C3414)&lt;=6),2,IF(AND(MONTH(C3414)&gt;=7,MONTH(C3414)&lt;=9),3,4))))</f>
        <v>2</v>
      </c>
      <c r="D3415" s="36"/>
      <c r="E3415" s="7" t="s">
        <v>41</v>
      </c>
      <c r="F3415" s="6"/>
    </row>
    <row r="3416" spans="1:6" ht="15.75" thickBot="1" x14ac:dyDescent="0.3">
      <c r="A3416" s="40"/>
      <c r="B3416" s="40"/>
      <c r="C3416" s="40"/>
      <c r="D3416" s="40"/>
      <c r="E3416" s="40"/>
      <c r="F3416" s="40"/>
    </row>
    <row r="3417" spans="1:6" ht="15.75" thickBot="1" x14ac:dyDescent="0.3">
      <c r="A3417" s="12" t="s">
        <v>42</v>
      </c>
      <c r="B3417" s="12" t="s">
        <v>43</v>
      </c>
      <c r="C3417" s="12" t="s">
        <v>44</v>
      </c>
      <c r="D3417" s="12" t="s">
        <v>45</v>
      </c>
      <c r="E3417" s="12" t="s">
        <v>46</v>
      </c>
      <c r="F3417" s="12" t="s">
        <v>47</v>
      </c>
    </row>
    <row r="3418" spans="1:6" x14ac:dyDescent="0.25">
      <c r="A3418" s="8">
        <v>50161509</v>
      </c>
      <c r="B3418" s="9" t="str">
        <f t="shared" ref="B3418:B3431" ca="1" si="27">IFERROR(INDEX(UNSPSCDes,MATCH(INDIRECT(ADDRESS(ROW(),COLUMN()-1,4)),UNSPSCCode,0)),"")</f>
        <v>Azucares naturales o productos endulzantes</v>
      </c>
      <c r="C3418" s="8" t="s">
        <v>74</v>
      </c>
      <c r="D3418" s="8">
        <v>500</v>
      </c>
      <c r="E3418" s="11">
        <v>83.78</v>
      </c>
      <c r="F3418" s="10">
        <f t="shared" ref="F3418:F3431" ca="1" si="28">INDIRECT(ADDRESS(ROW(),COLUMN()-2,4))*INDIRECT(ADDRESS(ROW(),COLUMN()-1,4))</f>
        <v>41890</v>
      </c>
    </row>
    <row r="3419" spans="1:6" x14ac:dyDescent="0.25">
      <c r="A3419" s="8">
        <v>50221101</v>
      </c>
      <c r="B3419" s="9" t="str">
        <f t="shared" ca="1" si="27"/>
        <v>Grano de cereal</v>
      </c>
      <c r="C3419" s="33" t="s">
        <v>74</v>
      </c>
      <c r="D3419" s="8">
        <v>500</v>
      </c>
      <c r="E3419" s="11">
        <v>231.38</v>
      </c>
      <c r="F3419" s="10">
        <f t="shared" ca="1" si="28"/>
        <v>115690</v>
      </c>
    </row>
    <row r="3420" spans="1:6" x14ac:dyDescent="0.25">
      <c r="A3420" s="8">
        <v>50151513</v>
      </c>
      <c r="B3420" s="9" t="str">
        <f t="shared" ca="1" si="27"/>
        <v>Aceites vegetales o  de planta comestibles</v>
      </c>
      <c r="C3420" s="33" t="s">
        <v>55</v>
      </c>
      <c r="D3420" s="8">
        <v>500</v>
      </c>
      <c r="E3420" s="11">
        <v>132.16</v>
      </c>
      <c r="F3420" s="10">
        <f t="shared" ca="1" si="28"/>
        <v>66080</v>
      </c>
    </row>
    <row r="3421" spans="1:6" x14ac:dyDescent="0.25">
      <c r="A3421" s="8">
        <v>50192111</v>
      </c>
      <c r="B3421" s="9" t="str">
        <f t="shared" ca="1" si="27"/>
        <v>Carne seca o procesada</v>
      </c>
      <c r="C3421" s="33" t="s">
        <v>55</v>
      </c>
      <c r="D3421" s="8">
        <v>500</v>
      </c>
      <c r="E3421" s="11">
        <v>619.5</v>
      </c>
      <c r="F3421" s="10">
        <f t="shared" ca="1" si="28"/>
        <v>309750</v>
      </c>
    </row>
    <row r="3422" spans="1:6" x14ac:dyDescent="0.25">
      <c r="A3422" s="8">
        <v>50201706</v>
      </c>
      <c r="B3422" s="9" t="str">
        <f t="shared" ca="1" si="27"/>
        <v>Café</v>
      </c>
      <c r="C3422" s="33" t="s">
        <v>74</v>
      </c>
      <c r="D3422" s="8">
        <v>500</v>
      </c>
      <c r="E3422" s="11">
        <v>188.8</v>
      </c>
      <c r="F3422" s="10">
        <f t="shared" ca="1" si="28"/>
        <v>94400</v>
      </c>
    </row>
    <row r="3423" spans="1:6" x14ac:dyDescent="0.25">
      <c r="A3423" s="8">
        <v>50171831</v>
      </c>
      <c r="B3423" s="9" t="str">
        <f t="shared" ca="1" si="27"/>
        <v>Salsas para cocinar</v>
      </c>
      <c r="C3423" s="33" t="s">
        <v>55</v>
      </c>
      <c r="D3423" s="8">
        <v>500</v>
      </c>
      <c r="E3423" s="11">
        <v>105.2</v>
      </c>
      <c r="F3423" s="10">
        <f t="shared" ca="1" si="28"/>
        <v>52600</v>
      </c>
    </row>
    <row r="3424" spans="1:6" x14ac:dyDescent="0.25">
      <c r="A3424" s="8">
        <v>50121538</v>
      </c>
      <c r="B3424" s="9" t="str">
        <f t="shared" ca="1" si="27"/>
        <v>Pescado almacenado en repisa</v>
      </c>
      <c r="C3424" s="33" t="s">
        <v>55</v>
      </c>
      <c r="D3424" s="8">
        <v>500</v>
      </c>
      <c r="E3424" s="11">
        <v>142.78</v>
      </c>
      <c r="F3424" s="10">
        <f t="shared" ca="1" si="28"/>
        <v>71390</v>
      </c>
    </row>
    <row r="3425" spans="1:6" x14ac:dyDescent="0.25">
      <c r="A3425" s="8">
        <v>50192902</v>
      </c>
      <c r="B3425" s="9" t="str">
        <f t="shared" ca="1" si="27"/>
        <v>Pasta o fideos de repisa</v>
      </c>
      <c r="C3425" s="33" t="s">
        <v>55</v>
      </c>
      <c r="D3425" s="8">
        <v>500</v>
      </c>
      <c r="E3425" s="11">
        <v>48.38</v>
      </c>
      <c r="F3425" s="10">
        <f t="shared" ca="1" si="28"/>
        <v>24190</v>
      </c>
    </row>
    <row r="3426" spans="1:6" x14ac:dyDescent="0.25">
      <c r="A3426" s="8">
        <v>50101543</v>
      </c>
      <c r="B3426" s="9" t="str">
        <f t="shared" ca="1" si="27"/>
        <v>Judías secas</v>
      </c>
      <c r="C3426" s="33" t="s">
        <v>55</v>
      </c>
      <c r="D3426" s="8">
        <v>500</v>
      </c>
      <c r="E3426" s="11">
        <v>178.18</v>
      </c>
      <c r="F3426" s="10">
        <f t="shared" ca="1" si="28"/>
        <v>89090</v>
      </c>
    </row>
    <row r="3427" spans="1:6" x14ac:dyDescent="0.25">
      <c r="A3427" s="8">
        <v>50131701</v>
      </c>
      <c r="B3427" s="9" t="str">
        <f t="shared" ca="1" si="27"/>
        <v>Productos de leche o mantequilla frescos</v>
      </c>
      <c r="C3427" s="33" t="s">
        <v>55</v>
      </c>
      <c r="D3427" s="8">
        <v>500</v>
      </c>
      <c r="E3427" s="11">
        <v>384.68</v>
      </c>
      <c r="F3427" s="10">
        <f t="shared" ca="1" si="28"/>
        <v>192340</v>
      </c>
    </row>
    <row r="3428" spans="1:6" x14ac:dyDescent="0.25">
      <c r="A3428" s="8">
        <v>50121538</v>
      </c>
      <c r="B3428" s="9" t="str">
        <f t="shared" ca="1" si="27"/>
        <v>Pescado almacenado en repisa</v>
      </c>
      <c r="C3428" s="33" t="s">
        <v>55</v>
      </c>
      <c r="D3428" s="8">
        <v>500</v>
      </c>
      <c r="E3428" s="11">
        <v>148.68</v>
      </c>
      <c r="F3428" s="10">
        <f t="shared" ca="1" si="28"/>
        <v>74340</v>
      </c>
    </row>
    <row r="3429" spans="1:6" x14ac:dyDescent="0.25">
      <c r="A3429" s="8">
        <v>50101542</v>
      </c>
      <c r="B3429" s="9" t="str">
        <f t="shared" ca="1" si="27"/>
        <v>Harina vegetal</v>
      </c>
      <c r="C3429" s="33" t="s">
        <v>55</v>
      </c>
      <c r="D3429" s="8">
        <v>500</v>
      </c>
      <c r="E3429" s="11">
        <v>34.22</v>
      </c>
      <c r="F3429" s="10">
        <f t="shared" ca="1" si="28"/>
        <v>17110</v>
      </c>
    </row>
    <row r="3430" spans="1:6" x14ac:dyDescent="0.25">
      <c r="A3430" s="8">
        <v>50161511</v>
      </c>
      <c r="B3430" s="9" t="str">
        <f t="shared" ca="1" si="27"/>
        <v>Chocolate o sustituto de chocolate</v>
      </c>
      <c r="C3430" s="33" t="s">
        <v>55</v>
      </c>
      <c r="D3430" s="8">
        <v>500</v>
      </c>
      <c r="E3430" s="11">
        <v>112.1</v>
      </c>
      <c r="F3430" s="10">
        <f t="shared" ca="1" si="28"/>
        <v>56050</v>
      </c>
    </row>
    <row r="3431" spans="1:6" x14ac:dyDescent="0.25">
      <c r="A3431" s="8">
        <v>50221101</v>
      </c>
      <c r="B3431" s="9" t="str">
        <f t="shared" ca="1" si="27"/>
        <v>Grano de cereal</v>
      </c>
      <c r="C3431" s="33" t="s">
        <v>55</v>
      </c>
      <c r="D3431" s="8">
        <v>500</v>
      </c>
      <c r="E3431" s="11">
        <v>113.28</v>
      </c>
      <c r="F3431" s="10">
        <f t="shared" ca="1" si="28"/>
        <v>56640</v>
      </c>
    </row>
    <row r="3432" spans="1:6" x14ac:dyDescent="0.25">
      <c r="A3432" s="40"/>
      <c r="B3432" s="40"/>
      <c r="C3432" s="40"/>
      <c r="D3432" s="40"/>
      <c r="E3432" s="13" t="s">
        <v>87</v>
      </c>
      <c r="F3432" s="14">
        <f ca="1">SUM(Table3128[MONTO TOTAL ESTIMADO])</f>
        <v>1261560</v>
      </c>
    </row>
    <row r="3433" spans="1:6" ht="15.75" thickBot="1" x14ac:dyDescent="0.3">
      <c r="A3433" s="42"/>
      <c r="B3433" s="42"/>
      <c r="C3433" s="42"/>
      <c r="D3433" s="42"/>
      <c r="E3433" s="42"/>
      <c r="F3433" s="42"/>
    </row>
    <row r="3434" spans="1:6" ht="23.25" thickBot="1" x14ac:dyDescent="0.3">
      <c r="A3434" s="4" t="s">
        <v>19</v>
      </c>
      <c r="B3434" s="4" t="s">
        <v>20</v>
      </c>
      <c r="C3434" s="4" t="s">
        <v>21</v>
      </c>
      <c r="D3434" s="4" t="s">
        <v>22</v>
      </c>
      <c r="E3434" s="4" t="s">
        <v>23</v>
      </c>
      <c r="F3434" s="4" t="s">
        <v>24</v>
      </c>
    </row>
    <row r="3435" spans="1:6" ht="15.75" thickBot="1" x14ac:dyDescent="0.3">
      <c r="A3435" s="32" t="s">
        <v>481</v>
      </c>
      <c r="B3435" s="32" t="s">
        <v>482</v>
      </c>
      <c r="C3435" s="32" t="s">
        <v>27</v>
      </c>
      <c r="D3435" s="6" t="s">
        <v>28</v>
      </c>
      <c r="E3435" s="6" t="s">
        <v>262</v>
      </c>
      <c r="F3435" s="6"/>
    </row>
    <row r="3436" spans="1:6" ht="15.75" thickBot="1" x14ac:dyDescent="0.3">
      <c r="A3436" s="35" t="s">
        <v>31</v>
      </c>
      <c r="B3436" s="7" t="s">
        <v>32</v>
      </c>
      <c r="C3436" s="15">
        <v>45383</v>
      </c>
      <c r="D3436" s="35" t="s">
        <v>33</v>
      </c>
      <c r="E3436" s="7" t="s">
        <v>34</v>
      </c>
      <c r="F3436" s="6"/>
    </row>
    <row r="3437" spans="1:6" ht="15.75" thickBot="1" x14ac:dyDescent="0.3">
      <c r="A3437" s="36"/>
      <c r="B3437" s="7" t="s">
        <v>36</v>
      </c>
      <c r="C3437" s="5">
        <f>IF(C3436="","",IF(AND(MONTH(C3436)&gt;=1,MONTH(C3436)&lt;=3),1,IF(AND(MONTH(C3436)&gt;=4,MONTH(C3436)&lt;=6),2,IF(AND(MONTH(C3436)&gt;=7,MONTH(C3436)&lt;=9),3,4))))</f>
        <v>2</v>
      </c>
      <c r="D3437" s="36"/>
      <c r="E3437" s="7" t="s">
        <v>37</v>
      </c>
      <c r="F3437" s="6"/>
    </row>
    <row r="3438" spans="1:6" ht="15.75" thickBot="1" x14ac:dyDescent="0.3">
      <c r="A3438" s="36"/>
      <c r="B3438" s="7" t="s">
        <v>39</v>
      </c>
      <c r="C3438" s="15">
        <v>45473</v>
      </c>
      <c r="D3438" s="36"/>
      <c r="E3438" s="7" t="s">
        <v>40</v>
      </c>
      <c r="F3438" s="6"/>
    </row>
    <row r="3439" spans="1:6" ht="15.75" thickBot="1" x14ac:dyDescent="0.3">
      <c r="A3439" s="36"/>
      <c r="B3439" s="7" t="s">
        <v>36</v>
      </c>
      <c r="C3439" s="5">
        <f>IF(C3438="","",IF(AND(MONTH(C3438)&gt;=1,MONTH(C3438)&lt;=3),1,IF(AND(MONTH(C3438)&gt;=4,MONTH(C3438)&lt;=6),2,IF(AND(MONTH(C3438)&gt;=7,MONTH(C3438)&lt;=9),3,4))))</f>
        <v>2</v>
      </c>
      <c r="D3439" s="36"/>
      <c r="E3439" s="7" t="s">
        <v>41</v>
      </c>
      <c r="F3439" s="6"/>
    </row>
    <row r="3440" spans="1:6" ht="15.75" thickBot="1" x14ac:dyDescent="0.3">
      <c r="A3440" s="40"/>
      <c r="B3440" s="40"/>
      <c r="C3440" s="40"/>
      <c r="D3440" s="40"/>
      <c r="E3440" s="40"/>
      <c r="F3440" s="40"/>
    </row>
    <row r="3441" spans="1:6" ht="15.75" thickBot="1" x14ac:dyDescent="0.3">
      <c r="A3441" s="12" t="s">
        <v>42</v>
      </c>
      <c r="B3441" s="12" t="s">
        <v>43</v>
      </c>
      <c r="C3441" s="12" t="s">
        <v>44</v>
      </c>
      <c r="D3441" s="12" t="s">
        <v>45</v>
      </c>
      <c r="E3441" s="12" t="s">
        <v>46</v>
      </c>
      <c r="F3441" s="12" t="s">
        <v>47</v>
      </c>
    </row>
    <row r="3442" spans="1:6" x14ac:dyDescent="0.25">
      <c r="A3442" s="8">
        <v>31231201</v>
      </c>
      <c r="B3442" s="9" t="str">
        <f t="shared" ref="B3442:B3449" ca="1" si="29">IFERROR(INDEX(UNSPSCDes,MATCH(INDIRECT(ADDRESS(ROW(),COLUMN()-1,4)),UNSPSCCode,0)),"")</f>
        <v>Aluminio en placa labrada</v>
      </c>
      <c r="C3442" s="8" t="s">
        <v>55</v>
      </c>
      <c r="D3442" s="8">
        <v>120</v>
      </c>
      <c r="E3442" s="11">
        <v>383.33</v>
      </c>
      <c r="F3442" s="10">
        <f t="shared" ref="F3442:F3449" ca="1" si="30">INDIRECT(ADDRESS(ROW(),COLUMN()-2,4))*INDIRECT(ADDRESS(ROW(),COLUMN()-1,4))</f>
        <v>45999.6</v>
      </c>
    </row>
    <row r="3443" spans="1:6" x14ac:dyDescent="0.25">
      <c r="A3443" s="8">
        <v>31231201</v>
      </c>
      <c r="B3443" s="9" t="str">
        <f t="shared" ca="1" si="29"/>
        <v>Aluminio en placa labrada</v>
      </c>
      <c r="C3443" s="33" t="s">
        <v>55</v>
      </c>
      <c r="D3443" s="8">
        <v>70</v>
      </c>
      <c r="E3443" s="11">
        <v>414.28</v>
      </c>
      <c r="F3443" s="10">
        <f t="shared" ca="1" si="30"/>
        <v>28999.599999999999</v>
      </c>
    </row>
    <row r="3444" spans="1:6" x14ac:dyDescent="0.25">
      <c r="A3444" s="8">
        <v>39111521</v>
      </c>
      <c r="B3444" s="9" t="str">
        <f t="shared" ca="1" si="29"/>
        <v>Plafones</v>
      </c>
      <c r="C3444" s="33" t="s">
        <v>55</v>
      </c>
      <c r="D3444" s="8">
        <v>120</v>
      </c>
      <c r="E3444" s="11">
        <v>1900</v>
      </c>
      <c r="F3444" s="10">
        <f t="shared" ca="1" si="30"/>
        <v>228000</v>
      </c>
    </row>
    <row r="3445" spans="1:6" x14ac:dyDescent="0.25">
      <c r="A3445" s="8">
        <v>31201605</v>
      </c>
      <c r="B3445" s="9" t="str">
        <f t="shared" ca="1" si="29"/>
        <v>Masillas</v>
      </c>
      <c r="C3445" s="33" t="s">
        <v>55</v>
      </c>
      <c r="D3445" s="8">
        <v>15</v>
      </c>
      <c r="E3445" s="11">
        <v>3300</v>
      </c>
      <c r="F3445" s="10">
        <f t="shared" ca="1" si="30"/>
        <v>49500</v>
      </c>
    </row>
    <row r="3446" spans="1:6" x14ac:dyDescent="0.25">
      <c r="A3446" s="8">
        <v>31201511</v>
      </c>
      <c r="B3446" s="9" t="str">
        <f t="shared" ca="1" si="29"/>
        <v>Cinta de malla metálica</v>
      </c>
      <c r="C3446" s="33" t="s">
        <v>55</v>
      </c>
      <c r="D3446" s="8">
        <v>10</v>
      </c>
      <c r="E3446" s="11">
        <v>910</v>
      </c>
      <c r="F3446" s="10">
        <f t="shared" ca="1" si="30"/>
        <v>9100</v>
      </c>
    </row>
    <row r="3447" spans="1:6" x14ac:dyDescent="0.25">
      <c r="A3447" s="8">
        <v>31161507</v>
      </c>
      <c r="B3447" s="9" t="str">
        <f t="shared" ca="1" si="29"/>
        <v>Tornillos roscadores</v>
      </c>
      <c r="C3447" s="33" t="s">
        <v>55</v>
      </c>
      <c r="D3447" s="8">
        <v>10</v>
      </c>
      <c r="E3447" s="11">
        <v>700</v>
      </c>
      <c r="F3447" s="10">
        <f t="shared" ca="1" si="30"/>
        <v>7000</v>
      </c>
    </row>
    <row r="3448" spans="1:6" x14ac:dyDescent="0.25">
      <c r="A3448" s="8">
        <v>31161507</v>
      </c>
      <c r="B3448" s="9" t="str">
        <f t="shared" ca="1" si="29"/>
        <v>Tornillos roscadores</v>
      </c>
      <c r="C3448" s="33" t="s">
        <v>55</v>
      </c>
      <c r="D3448" s="8">
        <v>30</v>
      </c>
      <c r="E3448" s="11">
        <v>600</v>
      </c>
      <c r="F3448" s="10">
        <f t="shared" ca="1" si="30"/>
        <v>18000</v>
      </c>
    </row>
    <row r="3449" spans="1:6" x14ac:dyDescent="0.25">
      <c r="A3449" s="8">
        <v>27111909</v>
      </c>
      <c r="B3449" s="9" t="str">
        <f t="shared" ca="1" si="29"/>
        <v>Espátulas</v>
      </c>
      <c r="C3449" s="33" t="s">
        <v>55</v>
      </c>
      <c r="D3449" s="8">
        <v>2</v>
      </c>
      <c r="E3449" s="11">
        <v>650</v>
      </c>
      <c r="F3449" s="10">
        <f t="shared" ca="1" si="30"/>
        <v>1300</v>
      </c>
    </row>
    <row r="3450" spans="1:6" x14ac:dyDescent="0.25">
      <c r="A3450" s="40"/>
      <c r="B3450" s="40"/>
      <c r="C3450" s="40"/>
      <c r="D3450" s="40"/>
      <c r="E3450" s="13" t="s">
        <v>87</v>
      </c>
      <c r="F3450" s="14">
        <f ca="1">SUM(Table3129[MONTO TOTAL ESTIMADO])</f>
        <v>387899.2</v>
      </c>
    </row>
    <row r="3451" spans="1:6" ht="15.75" thickBot="1" x14ac:dyDescent="0.3">
      <c r="A3451" s="42"/>
      <c r="B3451" s="42"/>
      <c r="C3451" s="42"/>
      <c r="D3451" s="42"/>
      <c r="E3451" s="42"/>
      <c r="F3451" s="42"/>
    </row>
    <row r="3452" spans="1:6" ht="23.25" thickBot="1" x14ac:dyDescent="0.3">
      <c r="A3452" s="4" t="s">
        <v>19</v>
      </c>
      <c r="B3452" s="4" t="s">
        <v>20</v>
      </c>
      <c r="C3452" s="4" t="s">
        <v>21</v>
      </c>
      <c r="D3452" s="4" t="s">
        <v>22</v>
      </c>
      <c r="E3452" s="4" t="s">
        <v>23</v>
      </c>
      <c r="F3452" s="4" t="s">
        <v>24</v>
      </c>
    </row>
    <row r="3453" spans="1:6" ht="15.75" thickBot="1" x14ac:dyDescent="0.3">
      <c r="A3453" s="32" t="s">
        <v>462</v>
      </c>
      <c r="B3453" s="32" t="s">
        <v>463</v>
      </c>
      <c r="C3453" s="32" t="s">
        <v>27</v>
      </c>
      <c r="D3453" s="6" t="s">
        <v>28</v>
      </c>
      <c r="E3453" s="6" t="s">
        <v>262</v>
      </c>
      <c r="F3453" s="6"/>
    </row>
    <row r="3454" spans="1:6" ht="15.75" thickBot="1" x14ac:dyDescent="0.3">
      <c r="A3454" s="35" t="s">
        <v>31</v>
      </c>
      <c r="B3454" s="7" t="s">
        <v>32</v>
      </c>
      <c r="C3454" s="15">
        <v>45383</v>
      </c>
      <c r="D3454" s="35" t="s">
        <v>33</v>
      </c>
      <c r="E3454" s="7" t="s">
        <v>34</v>
      </c>
      <c r="F3454" s="6"/>
    </row>
    <row r="3455" spans="1:6" ht="15.75" thickBot="1" x14ac:dyDescent="0.3">
      <c r="A3455" s="36"/>
      <c r="B3455" s="7" t="s">
        <v>36</v>
      </c>
      <c r="C3455" s="5">
        <f>IF(C3454="","",IF(AND(MONTH(C3454)&gt;=1,MONTH(C3454)&lt;=3),1,IF(AND(MONTH(C3454)&gt;=4,MONTH(C3454)&lt;=6),2,IF(AND(MONTH(C3454)&gt;=7,MONTH(C3454)&lt;=9),3,4))))</f>
        <v>2</v>
      </c>
      <c r="D3455" s="36"/>
      <c r="E3455" s="7" t="s">
        <v>37</v>
      </c>
      <c r="F3455" s="6"/>
    </row>
    <row r="3456" spans="1:6" ht="15.75" thickBot="1" x14ac:dyDescent="0.3">
      <c r="A3456" s="36"/>
      <c r="B3456" s="7" t="s">
        <v>39</v>
      </c>
      <c r="C3456" s="15">
        <v>45473</v>
      </c>
      <c r="D3456" s="36"/>
      <c r="E3456" s="7" t="s">
        <v>40</v>
      </c>
      <c r="F3456" s="6"/>
    </row>
    <row r="3457" spans="1:6" ht="15.75" thickBot="1" x14ac:dyDescent="0.3">
      <c r="A3457" s="36"/>
      <c r="B3457" s="7" t="s">
        <v>36</v>
      </c>
      <c r="C3457" s="5">
        <f>IF(C3456="","",IF(AND(MONTH(C3456)&gt;=1,MONTH(C3456)&lt;=3),1,IF(AND(MONTH(C3456)&gt;=4,MONTH(C3456)&lt;=6),2,IF(AND(MONTH(C3456)&gt;=7,MONTH(C3456)&lt;=9),3,4))))</f>
        <v>2</v>
      </c>
      <c r="D3457" s="36"/>
      <c r="E3457" s="7" t="s">
        <v>41</v>
      </c>
      <c r="F3457" s="6"/>
    </row>
    <row r="3458" spans="1:6" ht="15.75" thickBot="1" x14ac:dyDescent="0.3">
      <c r="A3458" s="40"/>
      <c r="B3458" s="40"/>
      <c r="C3458" s="40"/>
      <c r="D3458" s="40"/>
      <c r="E3458" s="40"/>
      <c r="F3458" s="40"/>
    </row>
    <row r="3459" spans="1:6" ht="15.75" thickBot="1" x14ac:dyDescent="0.3">
      <c r="A3459" s="12" t="s">
        <v>42</v>
      </c>
      <c r="B3459" s="12" t="s">
        <v>43</v>
      </c>
      <c r="C3459" s="12" t="s">
        <v>44</v>
      </c>
      <c r="D3459" s="12" t="s">
        <v>45</v>
      </c>
      <c r="E3459" s="12" t="s">
        <v>46</v>
      </c>
      <c r="F3459" s="12" t="s">
        <v>47</v>
      </c>
    </row>
    <row r="3460" spans="1:6" x14ac:dyDescent="0.25">
      <c r="A3460" s="8">
        <v>50161509</v>
      </c>
      <c r="B3460" s="9" t="str">
        <f t="shared" ref="B3460:B3473" ca="1" si="31">IFERROR(INDEX(UNSPSCDes,MATCH(INDIRECT(ADDRESS(ROW(),COLUMN()-1,4)),UNSPSCCode,0)),"")</f>
        <v>Azucares naturales o productos endulzantes</v>
      </c>
      <c r="C3460" s="8" t="s">
        <v>74</v>
      </c>
      <c r="D3460" s="8">
        <v>500</v>
      </c>
      <c r="E3460" s="11">
        <v>83.78</v>
      </c>
      <c r="F3460" s="10">
        <f t="shared" ref="F3460:F3473" ca="1" si="32">INDIRECT(ADDRESS(ROW(),COLUMN()-2,4))*INDIRECT(ADDRESS(ROW(),COLUMN()-1,4))</f>
        <v>41890</v>
      </c>
    </row>
    <row r="3461" spans="1:6" x14ac:dyDescent="0.25">
      <c r="A3461" s="8">
        <v>50221101</v>
      </c>
      <c r="B3461" s="9" t="str">
        <f t="shared" ca="1" si="31"/>
        <v>Grano de cereal</v>
      </c>
      <c r="C3461" s="8" t="s">
        <v>74</v>
      </c>
      <c r="D3461" s="8">
        <v>500</v>
      </c>
      <c r="E3461" s="11">
        <v>231.38</v>
      </c>
      <c r="F3461" s="10">
        <f t="shared" ca="1" si="32"/>
        <v>115690</v>
      </c>
    </row>
    <row r="3462" spans="1:6" x14ac:dyDescent="0.25">
      <c r="A3462" s="8">
        <v>50151513</v>
      </c>
      <c r="B3462" s="9" t="str">
        <f t="shared" ca="1" si="31"/>
        <v>Aceites vegetales o  de planta comestibles</v>
      </c>
      <c r="C3462" s="8" t="s">
        <v>55</v>
      </c>
      <c r="D3462" s="8">
        <v>500</v>
      </c>
      <c r="E3462" s="11">
        <v>132.16</v>
      </c>
      <c r="F3462" s="10">
        <f t="shared" ca="1" si="32"/>
        <v>66080</v>
      </c>
    </row>
    <row r="3463" spans="1:6" x14ac:dyDescent="0.25">
      <c r="A3463" s="8">
        <v>50192111</v>
      </c>
      <c r="B3463" s="9" t="str">
        <f t="shared" ca="1" si="31"/>
        <v>Carne seca o procesada</v>
      </c>
      <c r="C3463" s="33" t="s">
        <v>55</v>
      </c>
      <c r="D3463" s="8">
        <v>500</v>
      </c>
      <c r="E3463" s="11">
        <v>619.5</v>
      </c>
      <c r="F3463" s="10">
        <f t="shared" ca="1" si="32"/>
        <v>309750</v>
      </c>
    </row>
    <row r="3464" spans="1:6" x14ac:dyDescent="0.25">
      <c r="A3464" s="8">
        <v>50201706</v>
      </c>
      <c r="B3464" s="9" t="str">
        <f t="shared" ca="1" si="31"/>
        <v>Café</v>
      </c>
      <c r="C3464" s="33" t="s">
        <v>74</v>
      </c>
      <c r="D3464" s="8">
        <v>500</v>
      </c>
      <c r="E3464" s="11">
        <v>188.8</v>
      </c>
      <c r="F3464" s="10">
        <f t="shared" ca="1" si="32"/>
        <v>94400</v>
      </c>
    </row>
    <row r="3465" spans="1:6" x14ac:dyDescent="0.25">
      <c r="A3465" s="8">
        <v>50171831</v>
      </c>
      <c r="B3465" s="9" t="str">
        <f t="shared" ca="1" si="31"/>
        <v>Salsas para cocinar</v>
      </c>
      <c r="C3465" s="8" t="s">
        <v>55</v>
      </c>
      <c r="D3465" s="8">
        <v>500</v>
      </c>
      <c r="E3465" s="11">
        <v>105.2</v>
      </c>
      <c r="F3465" s="10">
        <f t="shared" ca="1" si="32"/>
        <v>52600</v>
      </c>
    </row>
    <row r="3466" spans="1:6" x14ac:dyDescent="0.25">
      <c r="A3466" s="8">
        <v>50121538</v>
      </c>
      <c r="B3466" s="9" t="str">
        <f t="shared" ca="1" si="31"/>
        <v>Pescado almacenado en repisa</v>
      </c>
      <c r="C3466" s="8" t="s">
        <v>55</v>
      </c>
      <c r="D3466" s="8">
        <v>500</v>
      </c>
      <c r="E3466" s="11">
        <v>142.78</v>
      </c>
      <c r="F3466" s="10">
        <f t="shared" ca="1" si="32"/>
        <v>71390</v>
      </c>
    </row>
    <row r="3467" spans="1:6" x14ac:dyDescent="0.25">
      <c r="A3467" s="8">
        <v>50192902</v>
      </c>
      <c r="B3467" s="9" t="str">
        <f t="shared" ca="1" si="31"/>
        <v>Pasta o fideos de repisa</v>
      </c>
      <c r="C3467" s="8" t="s">
        <v>55</v>
      </c>
      <c r="D3467" s="8">
        <v>500</v>
      </c>
      <c r="E3467" s="11">
        <v>48.38</v>
      </c>
      <c r="F3467" s="10">
        <f t="shared" ca="1" si="32"/>
        <v>24190</v>
      </c>
    </row>
    <row r="3468" spans="1:6" x14ac:dyDescent="0.25">
      <c r="A3468" s="8">
        <v>50101543</v>
      </c>
      <c r="B3468" s="9" t="str">
        <f t="shared" ca="1" si="31"/>
        <v>Judías secas</v>
      </c>
      <c r="C3468" s="8" t="s">
        <v>55</v>
      </c>
      <c r="D3468" s="8">
        <v>500</v>
      </c>
      <c r="E3468" s="11">
        <v>178.18</v>
      </c>
      <c r="F3468" s="10">
        <f t="shared" ca="1" si="32"/>
        <v>89090</v>
      </c>
    </row>
    <row r="3469" spans="1:6" x14ac:dyDescent="0.25">
      <c r="A3469" s="8">
        <v>50131701</v>
      </c>
      <c r="B3469" s="9" t="str">
        <f t="shared" ca="1" si="31"/>
        <v>Productos de leche o mantequilla frescos</v>
      </c>
      <c r="C3469" s="8" t="s">
        <v>55</v>
      </c>
      <c r="D3469" s="8">
        <v>500</v>
      </c>
      <c r="E3469" s="11">
        <v>384.68</v>
      </c>
      <c r="F3469" s="10">
        <f t="shared" ca="1" si="32"/>
        <v>192340</v>
      </c>
    </row>
    <row r="3470" spans="1:6" x14ac:dyDescent="0.25">
      <c r="A3470" s="8">
        <v>50121538</v>
      </c>
      <c r="B3470" s="9" t="str">
        <f t="shared" ca="1" si="31"/>
        <v>Pescado almacenado en repisa</v>
      </c>
      <c r="C3470" s="8" t="s">
        <v>55</v>
      </c>
      <c r="D3470" s="8">
        <v>500</v>
      </c>
      <c r="E3470" s="11">
        <v>148.68</v>
      </c>
      <c r="F3470" s="10">
        <f t="shared" ca="1" si="32"/>
        <v>74340</v>
      </c>
    </row>
    <row r="3471" spans="1:6" x14ac:dyDescent="0.25">
      <c r="A3471" s="8">
        <v>50101542</v>
      </c>
      <c r="B3471" s="9" t="str">
        <f t="shared" ca="1" si="31"/>
        <v>Harina vegetal</v>
      </c>
      <c r="C3471" s="8" t="s">
        <v>55</v>
      </c>
      <c r="D3471" s="8">
        <v>500</v>
      </c>
      <c r="E3471" s="11">
        <v>34.22</v>
      </c>
      <c r="F3471" s="10">
        <f t="shared" ca="1" si="32"/>
        <v>17110</v>
      </c>
    </row>
    <row r="3472" spans="1:6" x14ac:dyDescent="0.25">
      <c r="A3472" s="8">
        <v>50161511</v>
      </c>
      <c r="B3472" s="9" t="str">
        <f t="shared" ca="1" si="31"/>
        <v>Chocolate o sustituto de chocolate</v>
      </c>
      <c r="C3472" s="8" t="s">
        <v>55</v>
      </c>
      <c r="D3472" s="8">
        <v>500</v>
      </c>
      <c r="E3472" s="11">
        <v>112.1</v>
      </c>
      <c r="F3472" s="10">
        <f t="shared" ca="1" si="32"/>
        <v>56050</v>
      </c>
    </row>
    <row r="3473" spans="1:6" x14ac:dyDescent="0.25">
      <c r="A3473" s="8">
        <v>50221101</v>
      </c>
      <c r="B3473" s="9" t="str">
        <f t="shared" ca="1" si="31"/>
        <v>Grano de cereal</v>
      </c>
      <c r="C3473" s="8" t="s">
        <v>55</v>
      </c>
      <c r="D3473" s="8">
        <v>500</v>
      </c>
      <c r="E3473" s="11">
        <v>113.28</v>
      </c>
      <c r="F3473" s="10">
        <f t="shared" ca="1" si="32"/>
        <v>56640</v>
      </c>
    </row>
    <row r="3474" spans="1:6" x14ac:dyDescent="0.25">
      <c r="A3474" s="40"/>
      <c r="B3474" s="40"/>
      <c r="C3474" s="40"/>
      <c r="D3474" s="40"/>
      <c r="E3474" s="13" t="s">
        <v>87</v>
      </c>
      <c r="F3474" s="14">
        <f ca="1">SUM(Table3130[MONTO TOTAL ESTIMADO])</f>
        <v>1261560</v>
      </c>
    </row>
    <row r="3475" spans="1:6" ht="15.75" thickBot="1" x14ac:dyDescent="0.3">
      <c r="A3475" s="42"/>
      <c r="B3475" s="42"/>
      <c r="C3475" s="42"/>
      <c r="D3475" s="42"/>
      <c r="E3475" s="42"/>
      <c r="F3475" s="42"/>
    </row>
    <row r="3476" spans="1:6" ht="23.25" thickBot="1" x14ac:dyDescent="0.3">
      <c r="A3476" s="4" t="s">
        <v>19</v>
      </c>
      <c r="B3476" s="4" t="s">
        <v>20</v>
      </c>
      <c r="C3476" s="4" t="s">
        <v>21</v>
      </c>
      <c r="D3476" s="4" t="s">
        <v>22</v>
      </c>
      <c r="E3476" s="4" t="s">
        <v>23</v>
      </c>
      <c r="F3476" s="4" t="s">
        <v>24</v>
      </c>
    </row>
    <row r="3477" spans="1:6" ht="15.75" thickBot="1" x14ac:dyDescent="0.3">
      <c r="A3477" s="32" t="s">
        <v>489</v>
      </c>
      <c r="B3477" s="32" t="s">
        <v>490</v>
      </c>
      <c r="C3477" s="32" t="s">
        <v>27</v>
      </c>
      <c r="D3477" s="6" t="s">
        <v>28</v>
      </c>
      <c r="E3477" s="6" t="s">
        <v>262</v>
      </c>
      <c r="F3477" s="6"/>
    </row>
    <row r="3478" spans="1:6" ht="15.75" thickBot="1" x14ac:dyDescent="0.3">
      <c r="A3478" s="35" t="s">
        <v>31</v>
      </c>
      <c r="B3478" s="7" t="s">
        <v>32</v>
      </c>
      <c r="C3478" s="15">
        <v>45383</v>
      </c>
      <c r="D3478" s="35" t="s">
        <v>33</v>
      </c>
      <c r="E3478" s="7" t="s">
        <v>34</v>
      </c>
      <c r="F3478" s="6"/>
    </row>
    <row r="3479" spans="1:6" ht="15.75" thickBot="1" x14ac:dyDescent="0.3">
      <c r="A3479" s="36"/>
      <c r="B3479" s="7" t="s">
        <v>36</v>
      </c>
      <c r="C3479" s="5">
        <f>IF(C3478="","",IF(AND(MONTH(C3478)&gt;=1,MONTH(C3478)&lt;=3),1,IF(AND(MONTH(C3478)&gt;=4,MONTH(C3478)&lt;=6),2,IF(AND(MONTH(C3478)&gt;=7,MONTH(C3478)&lt;=9),3,4))))</f>
        <v>2</v>
      </c>
      <c r="D3479" s="36"/>
      <c r="E3479" s="7" t="s">
        <v>37</v>
      </c>
      <c r="F3479" s="6"/>
    </row>
    <row r="3480" spans="1:6" ht="15.75" thickBot="1" x14ac:dyDescent="0.3">
      <c r="A3480" s="36"/>
      <c r="B3480" s="7" t="s">
        <v>39</v>
      </c>
      <c r="C3480" s="15">
        <v>45473</v>
      </c>
      <c r="D3480" s="36"/>
      <c r="E3480" s="7" t="s">
        <v>40</v>
      </c>
      <c r="F3480" s="6"/>
    </row>
    <row r="3481" spans="1:6" ht="15.75" thickBot="1" x14ac:dyDescent="0.3">
      <c r="A3481" s="36"/>
      <c r="B3481" s="7" t="s">
        <v>36</v>
      </c>
      <c r="C3481" s="5">
        <f>IF(C3480="","",IF(AND(MONTH(C3480)&gt;=1,MONTH(C3480)&lt;=3),1,IF(AND(MONTH(C3480)&gt;=4,MONTH(C3480)&lt;=6),2,IF(AND(MONTH(C3480)&gt;=7,MONTH(C3480)&lt;=9),3,4))))</f>
        <v>2</v>
      </c>
      <c r="D3481" s="36"/>
      <c r="E3481" s="7" t="s">
        <v>41</v>
      </c>
      <c r="F3481" s="6"/>
    </row>
    <row r="3482" spans="1:6" ht="15.75" thickBot="1" x14ac:dyDescent="0.3">
      <c r="A3482" s="40"/>
      <c r="B3482" s="40"/>
      <c r="C3482" s="40"/>
      <c r="D3482" s="40"/>
      <c r="E3482" s="40"/>
      <c r="F3482" s="40"/>
    </row>
    <row r="3483" spans="1:6" ht="15.75" thickBot="1" x14ac:dyDescent="0.3">
      <c r="A3483" s="12" t="s">
        <v>42</v>
      </c>
      <c r="B3483" s="12" t="s">
        <v>43</v>
      </c>
      <c r="C3483" s="12" t="s">
        <v>44</v>
      </c>
      <c r="D3483" s="12" t="s">
        <v>45</v>
      </c>
      <c r="E3483" s="12" t="s">
        <v>46</v>
      </c>
      <c r="F3483" s="12" t="s">
        <v>47</v>
      </c>
    </row>
    <row r="3484" spans="1:6" x14ac:dyDescent="0.25">
      <c r="A3484" s="8">
        <v>14111514</v>
      </c>
      <c r="B3484" s="9" t="str">
        <f t="shared" ref="B3484:B3494" ca="1" si="33">IFERROR(INDEX(UNSPSCDes,MATCH(INDIRECT(ADDRESS(ROW(),COLUMN()-1,4)),UNSPSCCode,0)),"")</f>
        <v>Blocs o cuadernos de papel</v>
      </c>
      <c r="C3484" s="8" t="s">
        <v>55</v>
      </c>
      <c r="D3484" s="8">
        <v>2400</v>
      </c>
      <c r="E3484" s="11">
        <v>92.04</v>
      </c>
      <c r="F3484" s="10">
        <f t="shared" ref="F3484:F3494" ca="1" si="34">INDIRECT(ADDRESS(ROW(),COLUMN()-2,4))*INDIRECT(ADDRESS(ROW(),COLUMN()-1,4))</f>
        <v>220896.00000000003</v>
      </c>
    </row>
    <row r="3485" spans="1:6" x14ac:dyDescent="0.25">
      <c r="A3485" s="8">
        <v>44121706</v>
      </c>
      <c r="B3485" s="9" t="str">
        <f t="shared" ca="1" si="33"/>
        <v>Lápices de madera</v>
      </c>
      <c r="C3485" s="8" t="s">
        <v>49</v>
      </c>
      <c r="D3485" s="8">
        <v>100</v>
      </c>
      <c r="E3485" s="11">
        <v>88.6</v>
      </c>
      <c r="F3485" s="10">
        <f t="shared" ca="1" si="34"/>
        <v>8860</v>
      </c>
    </row>
    <row r="3486" spans="1:6" x14ac:dyDescent="0.25">
      <c r="A3486" s="8">
        <v>44121701</v>
      </c>
      <c r="B3486" s="9" t="str">
        <f t="shared" ca="1" si="33"/>
        <v>Bolígrafos</v>
      </c>
      <c r="C3486" s="33" t="s">
        <v>49</v>
      </c>
      <c r="D3486" s="8">
        <v>100</v>
      </c>
      <c r="E3486" s="11">
        <v>109.84</v>
      </c>
      <c r="F3486" s="10">
        <f t="shared" ca="1" si="34"/>
        <v>10984</v>
      </c>
    </row>
    <row r="3487" spans="1:6" x14ac:dyDescent="0.25">
      <c r="A3487" s="8">
        <v>53121603</v>
      </c>
      <c r="B3487" s="9" t="str">
        <f t="shared" ca="1" si="33"/>
        <v>Morrales</v>
      </c>
      <c r="C3487" s="33" t="s">
        <v>55</v>
      </c>
      <c r="D3487" s="8">
        <v>600</v>
      </c>
      <c r="E3487" s="11">
        <v>973.5</v>
      </c>
      <c r="F3487" s="10">
        <f t="shared" ca="1" si="34"/>
        <v>584100</v>
      </c>
    </row>
    <row r="3488" spans="1:6" x14ac:dyDescent="0.25">
      <c r="A3488" s="8">
        <v>44121804</v>
      </c>
      <c r="B3488" s="9" t="str">
        <f t="shared" ca="1" si="33"/>
        <v>Borradores</v>
      </c>
      <c r="C3488" s="33" t="s">
        <v>55</v>
      </c>
      <c r="D3488" s="8">
        <v>600</v>
      </c>
      <c r="E3488" s="11">
        <v>51.92</v>
      </c>
      <c r="F3488" s="10">
        <f t="shared" ca="1" si="34"/>
        <v>31152</v>
      </c>
    </row>
    <row r="3489" spans="1:6" x14ac:dyDescent="0.25">
      <c r="A3489" s="8">
        <v>44121619</v>
      </c>
      <c r="B3489" s="9" t="str">
        <f t="shared" ca="1" si="33"/>
        <v>Tajalápices manuales</v>
      </c>
      <c r="C3489" s="33" t="s">
        <v>55</v>
      </c>
      <c r="D3489" s="8">
        <v>600</v>
      </c>
      <c r="E3489" s="11">
        <v>23.6</v>
      </c>
      <c r="F3489" s="10">
        <f t="shared" ca="1" si="34"/>
        <v>14160</v>
      </c>
    </row>
    <row r="3490" spans="1:6" x14ac:dyDescent="0.25">
      <c r="A3490" s="8">
        <v>44111509</v>
      </c>
      <c r="B3490" s="9" t="str">
        <f t="shared" ca="1" si="33"/>
        <v>Sujetadores de esferos o lápices</v>
      </c>
      <c r="C3490" s="33" t="s">
        <v>55</v>
      </c>
      <c r="D3490" s="8">
        <v>600</v>
      </c>
      <c r="E3490" s="11">
        <v>135.69999999999999</v>
      </c>
      <c r="F3490" s="10">
        <f t="shared" ca="1" si="34"/>
        <v>81420</v>
      </c>
    </row>
    <row r="3491" spans="1:6" x14ac:dyDescent="0.25">
      <c r="A3491" s="8">
        <v>52152002</v>
      </c>
      <c r="B3491" s="9" t="str">
        <f t="shared" ca="1" si="33"/>
        <v>Contenedores para almacenar alimentos para uso doméstico</v>
      </c>
      <c r="C3491" s="33" t="s">
        <v>55</v>
      </c>
      <c r="D3491" s="8">
        <v>600</v>
      </c>
      <c r="E3491" s="11">
        <v>722.75</v>
      </c>
      <c r="F3491" s="10">
        <f t="shared" ca="1" si="34"/>
        <v>433650</v>
      </c>
    </row>
    <row r="3492" spans="1:6" x14ac:dyDescent="0.25">
      <c r="A3492" s="8">
        <v>44111803</v>
      </c>
      <c r="B3492" s="9" t="str">
        <f t="shared" ca="1" si="33"/>
        <v>Compases</v>
      </c>
      <c r="C3492" s="33" t="s">
        <v>55</v>
      </c>
      <c r="D3492" s="8">
        <v>600</v>
      </c>
      <c r="E3492" s="11">
        <v>45.78</v>
      </c>
      <c r="F3492" s="10">
        <f t="shared" ca="1" si="34"/>
        <v>27468</v>
      </c>
    </row>
    <row r="3493" spans="1:6" x14ac:dyDescent="0.25">
      <c r="A3493" s="8">
        <v>44111812</v>
      </c>
      <c r="B3493" s="9" t="str">
        <f t="shared" ca="1" si="33"/>
        <v>Kits o sets de dibujo</v>
      </c>
      <c r="C3493" s="33" t="s">
        <v>55</v>
      </c>
      <c r="D3493" s="8">
        <v>600</v>
      </c>
      <c r="E3493" s="11">
        <v>37.909999999999997</v>
      </c>
      <c r="F3493" s="10">
        <f t="shared" ca="1" si="34"/>
        <v>22745.999999999996</v>
      </c>
    </row>
    <row r="3494" spans="1:6" x14ac:dyDescent="0.25">
      <c r="A3494" s="8">
        <v>44121707</v>
      </c>
      <c r="B3494" s="9" t="str">
        <f t="shared" ca="1" si="33"/>
        <v>Lápices de colores</v>
      </c>
      <c r="C3494" s="33" t="s">
        <v>49</v>
      </c>
      <c r="D3494" s="8">
        <v>600</v>
      </c>
      <c r="E3494" s="11">
        <v>107.43</v>
      </c>
      <c r="F3494" s="10">
        <f t="shared" ca="1" si="34"/>
        <v>64458.000000000007</v>
      </c>
    </row>
    <row r="3495" spans="1:6" x14ac:dyDescent="0.25">
      <c r="A3495" s="40"/>
      <c r="B3495" s="40"/>
      <c r="C3495" s="40"/>
      <c r="D3495" s="40"/>
      <c r="E3495" s="13" t="s">
        <v>87</v>
      </c>
      <c r="F3495" s="14">
        <f ca="1">SUM(Table3131[MONTO TOTAL ESTIMADO])</f>
        <v>1499894</v>
      </c>
    </row>
    <row r="3496" spans="1:6" ht="15.75" thickBot="1" x14ac:dyDescent="0.3">
      <c r="A3496" s="42"/>
      <c r="B3496" s="42"/>
      <c r="C3496" s="42"/>
      <c r="D3496" s="42"/>
      <c r="E3496" s="42"/>
      <c r="F3496" s="42"/>
    </row>
    <row r="3497" spans="1:6" ht="23.25" thickBot="1" x14ac:dyDescent="0.3">
      <c r="A3497" s="4" t="s">
        <v>19</v>
      </c>
      <c r="B3497" s="4" t="s">
        <v>20</v>
      </c>
      <c r="C3497" s="4" t="s">
        <v>21</v>
      </c>
      <c r="D3497" s="4" t="s">
        <v>22</v>
      </c>
      <c r="E3497" s="4" t="s">
        <v>23</v>
      </c>
      <c r="F3497" s="4" t="s">
        <v>24</v>
      </c>
    </row>
    <row r="3498" spans="1:6" ht="15.75" thickBot="1" x14ac:dyDescent="0.3">
      <c r="A3498" s="32" t="s">
        <v>496</v>
      </c>
      <c r="B3498" s="32" t="s">
        <v>497</v>
      </c>
      <c r="C3498" s="32" t="s">
        <v>129</v>
      </c>
      <c r="D3498" s="6" t="s">
        <v>28</v>
      </c>
      <c r="E3498" s="6" t="s">
        <v>262</v>
      </c>
      <c r="F3498" s="6"/>
    </row>
    <row r="3499" spans="1:6" ht="15.75" thickBot="1" x14ac:dyDescent="0.3">
      <c r="A3499" s="35" t="s">
        <v>31</v>
      </c>
      <c r="B3499" s="7" t="s">
        <v>32</v>
      </c>
      <c r="C3499" s="15">
        <v>45383</v>
      </c>
      <c r="D3499" s="35" t="s">
        <v>33</v>
      </c>
      <c r="E3499" s="7" t="s">
        <v>34</v>
      </c>
      <c r="F3499" s="6"/>
    </row>
    <row r="3500" spans="1:6" ht="15.75" thickBot="1" x14ac:dyDescent="0.3">
      <c r="A3500" s="36"/>
      <c r="B3500" s="7" t="s">
        <v>36</v>
      </c>
      <c r="C3500" s="5">
        <f>IF(C3499="","",IF(AND(MONTH(C3499)&gt;=1,MONTH(C3499)&lt;=3),1,IF(AND(MONTH(C3499)&gt;=4,MONTH(C3499)&lt;=6),2,IF(AND(MONTH(C3499)&gt;=7,MONTH(C3499)&lt;=9),3,4))))</f>
        <v>2</v>
      </c>
      <c r="D3500" s="36"/>
      <c r="E3500" s="7" t="s">
        <v>37</v>
      </c>
      <c r="F3500" s="6"/>
    </row>
    <row r="3501" spans="1:6" ht="15.75" thickBot="1" x14ac:dyDescent="0.3">
      <c r="A3501" s="36"/>
      <c r="B3501" s="7" t="s">
        <v>39</v>
      </c>
      <c r="C3501" s="15">
        <v>45473</v>
      </c>
      <c r="D3501" s="36"/>
      <c r="E3501" s="7" t="s">
        <v>40</v>
      </c>
      <c r="F3501" s="6"/>
    </row>
    <row r="3502" spans="1:6" ht="15.75" thickBot="1" x14ac:dyDescent="0.3">
      <c r="A3502" s="36"/>
      <c r="B3502" s="7" t="s">
        <v>36</v>
      </c>
      <c r="C3502" s="5">
        <f>IF(C3501="","",IF(AND(MONTH(C3501)&gt;=1,MONTH(C3501)&lt;=3),1,IF(AND(MONTH(C3501)&gt;=4,MONTH(C3501)&lt;=6),2,IF(AND(MONTH(C3501)&gt;=7,MONTH(C3501)&lt;=9),3,4))))</f>
        <v>2</v>
      </c>
      <c r="D3502" s="36"/>
      <c r="E3502" s="7" t="s">
        <v>41</v>
      </c>
      <c r="F3502" s="6"/>
    </row>
    <row r="3503" spans="1:6" ht="15.75" thickBot="1" x14ac:dyDescent="0.3">
      <c r="A3503" s="40"/>
      <c r="B3503" s="40"/>
      <c r="C3503" s="40"/>
      <c r="D3503" s="40"/>
      <c r="E3503" s="40"/>
      <c r="F3503" s="40"/>
    </row>
    <row r="3504" spans="1:6" ht="15.75" thickBot="1" x14ac:dyDescent="0.3">
      <c r="A3504" s="12" t="s">
        <v>42</v>
      </c>
      <c r="B3504" s="12" t="s">
        <v>43</v>
      </c>
      <c r="C3504" s="12" t="s">
        <v>44</v>
      </c>
      <c r="D3504" s="12" t="s">
        <v>45</v>
      </c>
      <c r="E3504" s="12" t="s">
        <v>46</v>
      </c>
      <c r="F3504" s="12" t="s">
        <v>47</v>
      </c>
    </row>
    <row r="3505" spans="1:6" x14ac:dyDescent="0.25">
      <c r="A3505" s="8">
        <v>73151606</v>
      </c>
      <c r="B3505" s="9" t="str">
        <f ca="1">IFERROR(INDEX(UNSPSCDes,MATCH(INDIRECT(ADDRESS(ROW(),COLUMN()-1,4)),UNSPSCCode,0)),"")</f>
        <v>Servicios de empacado a mano</v>
      </c>
      <c r="C3505" s="33" t="s">
        <v>55</v>
      </c>
      <c r="D3505" s="8">
        <v>1</v>
      </c>
      <c r="E3505" s="11">
        <v>1600000</v>
      </c>
      <c r="F3505" s="10">
        <f ca="1">INDIRECT(ADDRESS(ROW(),COLUMN()-2,4))*INDIRECT(ADDRESS(ROW(),COLUMN()-1,4))</f>
        <v>1600000</v>
      </c>
    </row>
    <row r="3506" spans="1:6" x14ac:dyDescent="0.25">
      <c r="A3506" s="40"/>
      <c r="B3506" s="40"/>
      <c r="C3506" s="40"/>
      <c r="D3506" s="40"/>
      <c r="E3506" s="13" t="s">
        <v>87</v>
      </c>
      <c r="F3506" s="14">
        <f ca="1">SUM(Table3132[MONTO TOTAL ESTIMADO])</f>
        <v>1600000</v>
      </c>
    </row>
    <row r="3507" spans="1:6" ht="15.75" thickBot="1" x14ac:dyDescent="0.3">
      <c r="A3507" s="42"/>
      <c r="B3507" s="42"/>
      <c r="C3507" s="42"/>
      <c r="D3507" s="42"/>
      <c r="E3507" s="42"/>
      <c r="F3507" s="42"/>
    </row>
    <row r="3508" spans="1:6" ht="23.25" thickBot="1" x14ac:dyDescent="0.3">
      <c r="A3508" s="4" t="s">
        <v>19</v>
      </c>
      <c r="B3508" s="4" t="s">
        <v>20</v>
      </c>
      <c r="C3508" s="4" t="s">
        <v>21</v>
      </c>
      <c r="D3508" s="4" t="s">
        <v>22</v>
      </c>
      <c r="E3508" s="4" t="s">
        <v>23</v>
      </c>
      <c r="F3508" s="4" t="s">
        <v>24</v>
      </c>
    </row>
    <row r="3509" spans="1:6" ht="15.75" thickBot="1" x14ac:dyDescent="0.3">
      <c r="A3509" s="32" t="s">
        <v>489</v>
      </c>
      <c r="B3509" s="32" t="s">
        <v>490</v>
      </c>
      <c r="C3509" s="32" t="s">
        <v>27</v>
      </c>
      <c r="D3509" s="6" t="s">
        <v>28</v>
      </c>
      <c r="E3509" s="6" t="s">
        <v>262</v>
      </c>
      <c r="F3509" s="6"/>
    </row>
    <row r="3510" spans="1:6" ht="15.75" thickBot="1" x14ac:dyDescent="0.3">
      <c r="A3510" s="35" t="s">
        <v>31</v>
      </c>
      <c r="B3510" s="7" t="s">
        <v>32</v>
      </c>
      <c r="C3510" s="15">
        <v>45383</v>
      </c>
      <c r="D3510" s="35" t="s">
        <v>33</v>
      </c>
      <c r="E3510" s="7" t="s">
        <v>34</v>
      </c>
      <c r="F3510" s="6"/>
    </row>
    <row r="3511" spans="1:6" ht="15.75" thickBot="1" x14ac:dyDescent="0.3">
      <c r="A3511" s="36"/>
      <c r="B3511" s="7" t="s">
        <v>36</v>
      </c>
      <c r="C3511" s="5">
        <f>IF(C3510="","",IF(AND(MONTH(C3510)&gt;=1,MONTH(C3510)&lt;=3),1,IF(AND(MONTH(C3510)&gt;=4,MONTH(C3510)&lt;=6),2,IF(AND(MONTH(C3510)&gt;=7,MONTH(C3510)&lt;=9),3,4))))</f>
        <v>2</v>
      </c>
      <c r="D3511" s="36"/>
      <c r="E3511" s="7" t="s">
        <v>37</v>
      </c>
      <c r="F3511" s="6"/>
    </row>
    <row r="3512" spans="1:6" ht="15.75" thickBot="1" x14ac:dyDescent="0.3">
      <c r="A3512" s="36"/>
      <c r="B3512" s="7" t="s">
        <v>39</v>
      </c>
      <c r="C3512" s="15">
        <v>45473</v>
      </c>
      <c r="D3512" s="36"/>
      <c r="E3512" s="7" t="s">
        <v>40</v>
      </c>
      <c r="F3512" s="6"/>
    </row>
    <row r="3513" spans="1:6" ht="15.75" thickBot="1" x14ac:dyDescent="0.3">
      <c r="A3513" s="36"/>
      <c r="B3513" s="7" t="s">
        <v>36</v>
      </c>
      <c r="C3513" s="5">
        <f>IF(C3512="","",IF(AND(MONTH(C3512)&gt;=1,MONTH(C3512)&lt;=3),1,IF(AND(MONTH(C3512)&gt;=4,MONTH(C3512)&lt;=6),2,IF(AND(MONTH(C3512)&gt;=7,MONTH(C3512)&lt;=9),3,4))))</f>
        <v>2</v>
      </c>
      <c r="D3513" s="36"/>
      <c r="E3513" s="7" t="s">
        <v>41</v>
      </c>
      <c r="F3513" s="6"/>
    </row>
    <row r="3514" spans="1:6" ht="15.75" thickBot="1" x14ac:dyDescent="0.3">
      <c r="A3514" s="40"/>
      <c r="B3514" s="40"/>
      <c r="C3514" s="40"/>
      <c r="D3514" s="40"/>
      <c r="E3514" s="40"/>
      <c r="F3514" s="40"/>
    </row>
    <row r="3515" spans="1:6" ht="15.75" thickBot="1" x14ac:dyDescent="0.3">
      <c r="A3515" s="12" t="s">
        <v>42</v>
      </c>
      <c r="B3515" s="12" t="s">
        <v>43</v>
      </c>
      <c r="C3515" s="12" t="s">
        <v>44</v>
      </c>
      <c r="D3515" s="12" t="s">
        <v>45</v>
      </c>
      <c r="E3515" s="12" t="s">
        <v>46</v>
      </c>
      <c r="F3515" s="12" t="s">
        <v>47</v>
      </c>
    </row>
    <row r="3516" spans="1:6" x14ac:dyDescent="0.25">
      <c r="A3516" s="8">
        <v>14111514</v>
      </c>
      <c r="B3516" s="9" t="str">
        <f t="shared" ref="B3516:B3526" ca="1" si="35">IFERROR(INDEX(UNSPSCDes,MATCH(INDIRECT(ADDRESS(ROW(),COLUMN()-1,4)),UNSPSCCode,0)),"")</f>
        <v>Blocs o cuadernos de papel</v>
      </c>
      <c r="C3516" s="33" t="s">
        <v>55</v>
      </c>
      <c r="D3516" s="8">
        <v>2400</v>
      </c>
      <c r="E3516" s="11">
        <v>92.04</v>
      </c>
      <c r="F3516" s="10">
        <f t="shared" ref="F3516:F3526" ca="1" si="36">INDIRECT(ADDRESS(ROW(),COLUMN()-2,4))*INDIRECT(ADDRESS(ROW(),COLUMN()-1,4))</f>
        <v>220896.00000000003</v>
      </c>
    </row>
    <row r="3517" spans="1:6" x14ac:dyDescent="0.25">
      <c r="A3517" s="8">
        <v>44121706</v>
      </c>
      <c r="B3517" s="9" t="str">
        <f t="shared" ca="1" si="35"/>
        <v>Lápices de madera</v>
      </c>
      <c r="C3517" s="33" t="s">
        <v>49</v>
      </c>
      <c r="D3517" s="8">
        <v>100</v>
      </c>
      <c r="E3517" s="11">
        <v>88.6</v>
      </c>
      <c r="F3517" s="10">
        <f t="shared" ca="1" si="36"/>
        <v>8860</v>
      </c>
    </row>
    <row r="3518" spans="1:6" x14ac:dyDescent="0.25">
      <c r="A3518" s="8">
        <v>44121701</v>
      </c>
      <c r="B3518" s="9" t="str">
        <f t="shared" ca="1" si="35"/>
        <v>Bolígrafos</v>
      </c>
      <c r="C3518" s="33" t="s">
        <v>49</v>
      </c>
      <c r="D3518" s="8">
        <v>100</v>
      </c>
      <c r="E3518" s="11">
        <v>109.84</v>
      </c>
      <c r="F3518" s="10">
        <f t="shared" ca="1" si="36"/>
        <v>10984</v>
      </c>
    </row>
    <row r="3519" spans="1:6" x14ac:dyDescent="0.25">
      <c r="A3519" s="8">
        <v>53121603</v>
      </c>
      <c r="B3519" s="9" t="str">
        <f t="shared" ca="1" si="35"/>
        <v>Morrales</v>
      </c>
      <c r="C3519" s="33" t="s">
        <v>55</v>
      </c>
      <c r="D3519" s="8">
        <v>600</v>
      </c>
      <c r="E3519" s="11">
        <v>973.5</v>
      </c>
      <c r="F3519" s="10">
        <f t="shared" ca="1" si="36"/>
        <v>584100</v>
      </c>
    </row>
    <row r="3520" spans="1:6" x14ac:dyDescent="0.25">
      <c r="A3520" s="8">
        <v>44121804</v>
      </c>
      <c r="B3520" s="9" t="str">
        <f t="shared" ca="1" si="35"/>
        <v>Borradores</v>
      </c>
      <c r="C3520" s="33" t="s">
        <v>55</v>
      </c>
      <c r="D3520" s="8">
        <v>600</v>
      </c>
      <c r="E3520" s="11">
        <v>51.92</v>
      </c>
      <c r="F3520" s="10">
        <f t="shared" ca="1" si="36"/>
        <v>31152</v>
      </c>
    </row>
    <row r="3521" spans="1:6" x14ac:dyDescent="0.25">
      <c r="A3521" s="8">
        <v>44121619</v>
      </c>
      <c r="B3521" s="9" t="str">
        <f t="shared" ca="1" si="35"/>
        <v>Tajalápices manuales</v>
      </c>
      <c r="C3521" s="33" t="s">
        <v>55</v>
      </c>
      <c r="D3521" s="8">
        <v>600</v>
      </c>
      <c r="E3521" s="11">
        <v>23.6</v>
      </c>
      <c r="F3521" s="10">
        <f t="shared" ca="1" si="36"/>
        <v>14160</v>
      </c>
    </row>
    <row r="3522" spans="1:6" x14ac:dyDescent="0.25">
      <c r="A3522" s="8">
        <v>44111509</v>
      </c>
      <c r="B3522" s="9" t="str">
        <f t="shared" ca="1" si="35"/>
        <v>Sujetadores de esferos o lápices</v>
      </c>
      <c r="C3522" s="33" t="s">
        <v>55</v>
      </c>
      <c r="D3522" s="8">
        <v>600</v>
      </c>
      <c r="E3522" s="11">
        <v>135.69999999999999</v>
      </c>
      <c r="F3522" s="10">
        <f t="shared" ca="1" si="36"/>
        <v>81420</v>
      </c>
    </row>
    <row r="3523" spans="1:6" x14ac:dyDescent="0.25">
      <c r="A3523" s="8">
        <v>52152002</v>
      </c>
      <c r="B3523" s="9" t="str">
        <f t="shared" ca="1" si="35"/>
        <v>Contenedores para almacenar alimentos para uso doméstico</v>
      </c>
      <c r="C3523" s="33" t="s">
        <v>55</v>
      </c>
      <c r="D3523" s="8">
        <v>600</v>
      </c>
      <c r="E3523" s="11">
        <v>722.75</v>
      </c>
      <c r="F3523" s="10">
        <f t="shared" ca="1" si="36"/>
        <v>433650</v>
      </c>
    </row>
    <row r="3524" spans="1:6" x14ac:dyDescent="0.25">
      <c r="A3524" s="8">
        <v>44111803</v>
      </c>
      <c r="B3524" s="9" t="str">
        <f t="shared" ca="1" si="35"/>
        <v>Compases</v>
      </c>
      <c r="C3524" s="33" t="s">
        <v>55</v>
      </c>
      <c r="D3524" s="8">
        <v>600</v>
      </c>
      <c r="E3524" s="11">
        <v>45.78</v>
      </c>
      <c r="F3524" s="10">
        <f t="shared" ca="1" si="36"/>
        <v>27468</v>
      </c>
    </row>
    <row r="3525" spans="1:6" x14ac:dyDescent="0.25">
      <c r="A3525" s="8">
        <v>44111812</v>
      </c>
      <c r="B3525" s="9" t="str">
        <f t="shared" ca="1" si="35"/>
        <v>Kits o sets de dibujo</v>
      </c>
      <c r="C3525" s="33" t="s">
        <v>55</v>
      </c>
      <c r="D3525" s="8">
        <v>600</v>
      </c>
      <c r="E3525" s="11">
        <v>37.909999999999997</v>
      </c>
      <c r="F3525" s="10">
        <f t="shared" ca="1" si="36"/>
        <v>22745.999999999996</v>
      </c>
    </row>
    <row r="3526" spans="1:6" x14ac:dyDescent="0.25">
      <c r="A3526" s="8">
        <v>44121707</v>
      </c>
      <c r="B3526" s="9" t="str">
        <f t="shared" ca="1" si="35"/>
        <v>Lápices de colores</v>
      </c>
      <c r="C3526" s="33" t="s">
        <v>49</v>
      </c>
      <c r="D3526" s="8">
        <v>600</v>
      </c>
      <c r="E3526" s="11">
        <v>107.43</v>
      </c>
      <c r="F3526" s="10">
        <f t="shared" ca="1" si="36"/>
        <v>64458.000000000007</v>
      </c>
    </row>
    <row r="3527" spans="1:6" x14ac:dyDescent="0.25">
      <c r="A3527" s="40"/>
      <c r="B3527" s="40"/>
      <c r="C3527" s="40"/>
      <c r="D3527" s="40"/>
      <c r="E3527" s="13" t="s">
        <v>87</v>
      </c>
      <c r="F3527" s="14">
        <f ca="1">SUM(Table3133[MONTO TOTAL ESTIMADO])</f>
        <v>1499894</v>
      </c>
    </row>
    <row r="3528" spans="1:6" ht="15.75" thickBot="1" x14ac:dyDescent="0.3">
      <c r="A3528" s="42"/>
      <c r="B3528" s="42"/>
      <c r="C3528" s="42"/>
      <c r="D3528" s="42"/>
      <c r="E3528" s="42"/>
      <c r="F3528" s="42"/>
    </row>
    <row r="3529" spans="1:6" ht="23.25" thickBot="1" x14ac:dyDescent="0.3">
      <c r="A3529" s="4" t="s">
        <v>19</v>
      </c>
      <c r="B3529" s="4" t="s">
        <v>20</v>
      </c>
      <c r="C3529" s="4" t="s">
        <v>21</v>
      </c>
      <c r="D3529" s="4" t="s">
        <v>22</v>
      </c>
      <c r="E3529" s="4" t="s">
        <v>23</v>
      </c>
      <c r="F3529" s="4" t="s">
        <v>24</v>
      </c>
    </row>
    <row r="3530" spans="1:6" ht="15.75" thickBot="1" x14ac:dyDescent="0.3">
      <c r="A3530" s="32" t="s">
        <v>462</v>
      </c>
      <c r="B3530" s="32" t="s">
        <v>463</v>
      </c>
      <c r="C3530" s="32" t="s">
        <v>27</v>
      </c>
      <c r="D3530" s="6" t="s">
        <v>28</v>
      </c>
      <c r="E3530" s="6" t="s">
        <v>262</v>
      </c>
      <c r="F3530" s="6"/>
    </row>
    <row r="3531" spans="1:6" ht="15.75" thickBot="1" x14ac:dyDescent="0.3">
      <c r="A3531" s="35" t="s">
        <v>31</v>
      </c>
      <c r="B3531" s="7" t="s">
        <v>32</v>
      </c>
      <c r="C3531" s="15">
        <v>45383</v>
      </c>
      <c r="D3531" s="35" t="s">
        <v>33</v>
      </c>
      <c r="E3531" s="7" t="s">
        <v>34</v>
      </c>
      <c r="F3531" s="6"/>
    </row>
    <row r="3532" spans="1:6" ht="15.75" thickBot="1" x14ac:dyDescent="0.3">
      <c r="A3532" s="36"/>
      <c r="B3532" s="7" t="s">
        <v>36</v>
      </c>
      <c r="C3532" s="5">
        <f>IF(C3531="","",IF(AND(MONTH(C3531)&gt;=1,MONTH(C3531)&lt;=3),1,IF(AND(MONTH(C3531)&gt;=4,MONTH(C3531)&lt;=6),2,IF(AND(MONTH(C3531)&gt;=7,MONTH(C3531)&lt;=9),3,4))))</f>
        <v>2</v>
      </c>
      <c r="D3532" s="36"/>
      <c r="E3532" s="7" t="s">
        <v>37</v>
      </c>
      <c r="F3532" s="6"/>
    </row>
    <row r="3533" spans="1:6" ht="15.75" thickBot="1" x14ac:dyDescent="0.3">
      <c r="A3533" s="36"/>
      <c r="B3533" s="7" t="s">
        <v>39</v>
      </c>
      <c r="C3533" s="15">
        <v>45473</v>
      </c>
      <c r="D3533" s="36"/>
      <c r="E3533" s="7" t="s">
        <v>40</v>
      </c>
      <c r="F3533" s="6"/>
    </row>
    <row r="3534" spans="1:6" ht="15.75" thickBot="1" x14ac:dyDescent="0.3">
      <c r="A3534" s="36"/>
      <c r="B3534" s="7" t="s">
        <v>36</v>
      </c>
      <c r="C3534" s="5">
        <f>IF(C3533="","",IF(AND(MONTH(C3533)&gt;=1,MONTH(C3533)&lt;=3),1,IF(AND(MONTH(C3533)&gt;=4,MONTH(C3533)&lt;=6),2,IF(AND(MONTH(C3533)&gt;=7,MONTH(C3533)&lt;=9),3,4))))</f>
        <v>2</v>
      </c>
      <c r="D3534" s="36"/>
      <c r="E3534" s="7" t="s">
        <v>41</v>
      </c>
      <c r="F3534" s="6"/>
    </row>
    <row r="3535" spans="1:6" ht="15.75" thickBot="1" x14ac:dyDescent="0.3">
      <c r="A3535" s="40"/>
      <c r="B3535" s="40"/>
      <c r="C3535" s="40"/>
      <c r="D3535" s="40"/>
      <c r="E3535" s="40"/>
      <c r="F3535" s="40"/>
    </row>
    <row r="3536" spans="1:6" ht="15.75" thickBot="1" x14ac:dyDescent="0.3">
      <c r="A3536" s="12" t="s">
        <v>42</v>
      </c>
      <c r="B3536" s="12" t="s">
        <v>43</v>
      </c>
      <c r="C3536" s="12" t="s">
        <v>44</v>
      </c>
      <c r="D3536" s="12" t="s">
        <v>45</v>
      </c>
      <c r="E3536" s="12" t="s">
        <v>46</v>
      </c>
      <c r="F3536" s="12" t="s">
        <v>47</v>
      </c>
    </row>
    <row r="3537" spans="1:6" x14ac:dyDescent="0.25">
      <c r="A3537" s="8">
        <v>50161509</v>
      </c>
      <c r="B3537" s="9" t="str">
        <f t="shared" ref="B3537:B3550" ca="1" si="37">IFERROR(INDEX(UNSPSCDes,MATCH(INDIRECT(ADDRESS(ROW(),COLUMN()-1,4)),UNSPSCCode,0)),"")</f>
        <v>Azucares naturales o productos endulzantes</v>
      </c>
      <c r="C3537" s="8" t="s">
        <v>74</v>
      </c>
      <c r="D3537" s="8">
        <v>500</v>
      </c>
      <c r="E3537" s="11">
        <v>83.78</v>
      </c>
      <c r="F3537" s="10">
        <f t="shared" ref="F3537:F3550" ca="1" si="38">INDIRECT(ADDRESS(ROW(),COLUMN()-2,4))*INDIRECT(ADDRESS(ROW(),COLUMN()-1,4))</f>
        <v>41890</v>
      </c>
    </row>
    <row r="3538" spans="1:6" x14ac:dyDescent="0.25">
      <c r="A3538" s="8">
        <v>50221101</v>
      </c>
      <c r="B3538" s="9" t="str">
        <f t="shared" ca="1" si="37"/>
        <v>Grano de cereal</v>
      </c>
      <c r="C3538" s="33" t="s">
        <v>74</v>
      </c>
      <c r="D3538" s="8">
        <v>500</v>
      </c>
      <c r="E3538" s="11">
        <v>231.38</v>
      </c>
      <c r="F3538" s="10">
        <f t="shared" ca="1" si="38"/>
        <v>115690</v>
      </c>
    </row>
    <row r="3539" spans="1:6" x14ac:dyDescent="0.25">
      <c r="A3539" s="8">
        <v>50151513</v>
      </c>
      <c r="B3539" s="9" t="str">
        <f t="shared" ca="1" si="37"/>
        <v>Aceites vegetales o  de planta comestibles</v>
      </c>
      <c r="C3539" s="33" t="s">
        <v>55</v>
      </c>
      <c r="D3539" s="8">
        <v>500</v>
      </c>
      <c r="E3539" s="11">
        <v>132.16</v>
      </c>
      <c r="F3539" s="10">
        <f t="shared" ca="1" si="38"/>
        <v>66080</v>
      </c>
    </row>
    <row r="3540" spans="1:6" x14ac:dyDescent="0.25">
      <c r="A3540" s="8">
        <v>50192111</v>
      </c>
      <c r="B3540" s="9" t="str">
        <f t="shared" ca="1" si="37"/>
        <v>Carne seca o procesada</v>
      </c>
      <c r="C3540" s="33" t="s">
        <v>55</v>
      </c>
      <c r="D3540" s="8">
        <v>500</v>
      </c>
      <c r="E3540" s="11">
        <v>619.5</v>
      </c>
      <c r="F3540" s="10">
        <f t="shared" ca="1" si="38"/>
        <v>309750</v>
      </c>
    </row>
    <row r="3541" spans="1:6" x14ac:dyDescent="0.25">
      <c r="A3541" s="8">
        <v>50201706</v>
      </c>
      <c r="B3541" s="9" t="str">
        <f t="shared" ca="1" si="37"/>
        <v>Café</v>
      </c>
      <c r="C3541" s="33" t="s">
        <v>74</v>
      </c>
      <c r="D3541" s="8">
        <v>500</v>
      </c>
      <c r="E3541" s="11">
        <v>188.8</v>
      </c>
      <c r="F3541" s="10">
        <f t="shared" ca="1" si="38"/>
        <v>94400</v>
      </c>
    </row>
    <row r="3542" spans="1:6" x14ac:dyDescent="0.25">
      <c r="A3542" s="8">
        <v>50171831</v>
      </c>
      <c r="B3542" s="9" t="str">
        <f t="shared" ca="1" si="37"/>
        <v>Salsas para cocinar</v>
      </c>
      <c r="C3542" s="33" t="s">
        <v>55</v>
      </c>
      <c r="D3542" s="8">
        <v>500</v>
      </c>
      <c r="E3542" s="11">
        <v>105.2</v>
      </c>
      <c r="F3542" s="10">
        <f t="shared" ca="1" si="38"/>
        <v>52600</v>
      </c>
    </row>
    <row r="3543" spans="1:6" x14ac:dyDescent="0.25">
      <c r="A3543" s="8">
        <v>50121538</v>
      </c>
      <c r="B3543" s="9" t="str">
        <f t="shared" ca="1" si="37"/>
        <v>Pescado almacenado en repisa</v>
      </c>
      <c r="C3543" s="33" t="s">
        <v>55</v>
      </c>
      <c r="D3543" s="8">
        <v>500</v>
      </c>
      <c r="E3543" s="11">
        <v>142.78</v>
      </c>
      <c r="F3543" s="10">
        <f t="shared" ca="1" si="38"/>
        <v>71390</v>
      </c>
    </row>
    <row r="3544" spans="1:6" x14ac:dyDescent="0.25">
      <c r="A3544" s="8">
        <v>50192902</v>
      </c>
      <c r="B3544" s="9" t="str">
        <f t="shared" ca="1" si="37"/>
        <v>Pasta o fideos de repisa</v>
      </c>
      <c r="C3544" s="33" t="s">
        <v>55</v>
      </c>
      <c r="D3544" s="8">
        <v>500</v>
      </c>
      <c r="E3544" s="11">
        <v>48.38</v>
      </c>
      <c r="F3544" s="10">
        <f t="shared" ca="1" si="38"/>
        <v>24190</v>
      </c>
    </row>
    <row r="3545" spans="1:6" x14ac:dyDescent="0.25">
      <c r="A3545" s="8">
        <v>50101543</v>
      </c>
      <c r="B3545" s="9" t="str">
        <f t="shared" ca="1" si="37"/>
        <v>Judías secas</v>
      </c>
      <c r="C3545" s="33" t="s">
        <v>55</v>
      </c>
      <c r="D3545" s="8">
        <v>500</v>
      </c>
      <c r="E3545" s="11">
        <v>178.18</v>
      </c>
      <c r="F3545" s="10">
        <f t="shared" ca="1" si="38"/>
        <v>89090</v>
      </c>
    </row>
    <row r="3546" spans="1:6" x14ac:dyDescent="0.25">
      <c r="A3546" s="8">
        <v>50131701</v>
      </c>
      <c r="B3546" s="9" t="str">
        <f t="shared" ca="1" si="37"/>
        <v>Productos de leche o mantequilla frescos</v>
      </c>
      <c r="C3546" s="33" t="s">
        <v>55</v>
      </c>
      <c r="D3546" s="8">
        <v>500</v>
      </c>
      <c r="E3546" s="11">
        <v>384.68</v>
      </c>
      <c r="F3546" s="10">
        <f t="shared" ca="1" si="38"/>
        <v>192340</v>
      </c>
    </row>
    <row r="3547" spans="1:6" x14ac:dyDescent="0.25">
      <c r="A3547" s="8">
        <v>50121538</v>
      </c>
      <c r="B3547" s="9" t="str">
        <f t="shared" ca="1" si="37"/>
        <v>Pescado almacenado en repisa</v>
      </c>
      <c r="C3547" s="33" t="s">
        <v>55</v>
      </c>
      <c r="D3547" s="8">
        <v>500</v>
      </c>
      <c r="E3547" s="11">
        <v>148.68</v>
      </c>
      <c r="F3547" s="10">
        <f t="shared" ca="1" si="38"/>
        <v>74340</v>
      </c>
    </row>
    <row r="3548" spans="1:6" x14ac:dyDescent="0.25">
      <c r="A3548" s="8">
        <v>50101542</v>
      </c>
      <c r="B3548" s="9" t="str">
        <f t="shared" ca="1" si="37"/>
        <v>Harina vegetal</v>
      </c>
      <c r="C3548" s="33" t="s">
        <v>55</v>
      </c>
      <c r="D3548" s="8">
        <v>500</v>
      </c>
      <c r="E3548" s="11">
        <v>34.22</v>
      </c>
      <c r="F3548" s="10">
        <f t="shared" ca="1" si="38"/>
        <v>17110</v>
      </c>
    </row>
    <row r="3549" spans="1:6" x14ac:dyDescent="0.25">
      <c r="A3549" s="8">
        <v>50161511</v>
      </c>
      <c r="B3549" s="9" t="str">
        <f t="shared" ca="1" si="37"/>
        <v>Chocolate o sustituto de chocolate</v>
      </c>
      <c r="C3549" s="33" t="s">
        <v>55</v>
      </c>
      <c r="D3549" s="8">
        <v>500</v>
      </c>
      <c r="E3549" s="11">
        <v>112.1</v>
      </c>
      <c r="F3549" s="10">
        <f t="shared" ca="1" si="38"/>
        <v>56050</v>
      </c>
    </row>
    <row r="3550" spans="1:6" x14ac:dyDescent="0.25">
      <c r="A3550" s="8">
        <v>50221101</v>
      </c>
      <c r="B3550" s="9" t="str">
        <f t="shared" ca="1" si="37"/>
        <v>Grano de cereal</v>
      </c>
      <c r="C3550" s="33" t="s">
        <v>55</v>
      </c>
      <c r="D3550" s="8">
        <v>500</v>
      </c>
      <c r="E3550" s="11">
        <v>113.28</v>
      </c>
      <c r="F3550" s="10">
        <f t="shared" ca="1" si="38"/>
        <v>56640</v>
      </c>
    </row>
    <row r="3551" spans="1:6" x14ac:dyDescent="0.25">
      <c r="A3551" s="40"/>
      <c r="B3551" s="40"/>
      <c r="C3551" s="40"/>
      <c r="D3551" s="40"/>
      <c r="E3551" s="13" t="s">
        <v>87</v>
      </c>
      <c r="F3551" s="14">
        <f ca="1">SUM(Table3134[MONTO TOTAL ESTIMADO])</f>
        <v>1261560</v>
      </c>
    </row>
    <row r="3552" spans="1:6" ht="15.75" thickBot="1" x14ac:dyDescent="0.3">
      <c r="A3552" s="42"/>
      <c r="B3552" s="42"/>
      <c r="C3552" s="42"/>
      <c r="D3552" s="42"/>
      <c r="E3552" s="42"/>
      <c r="F3552" s="42"/>
    </row>
    <row r="3553" spans="1:6" ht="23.25" thickBot="1" x14ac:dyDescent="0.3">
      <c r="A3553" s="4" t="s">
        <v>19</v>
      </c>
      <c r="B3553" s="4" t="s">
        <v>20</v>
      </c>
      <c r="C3553" s="4" t="s">
        <v>21</v>
      </c>
      <c r="D3553" s="4" t="s">
        <v>22</v>
      </c>
      <c r="E3553" s="4" t="s">
        <v>23</v>
      </c>
      <c r="F3553" s="4" t="s">
        <v>24</v>
      </c>
    </row>
    <row r="3554" spans="1:6" ht="15.75" thickBot="1" x14ac:dyDescent="0.3">
      <c r="A3554" s="32" t="s">
        <v>498</v>
      </c>
      <c r="B3554" s="32" t="s">
        <v>499</v>
      </c>
      <c r="C3554" s="32" t="s">
        <v>129</v>
      </c>
      <c r="D3554" s="6" t="s">
        <v>28</v>
      </c>
      <c r="E3554" s="6" t="s">
        <v>262</v>
      </c>
      <c r="F3554" s="6"/>
    </row>
    <row r="3555" spans="1:6" ht="15.75" thickBot="1" x14ac:dyDescent="0.3">
      <c r="A3555" s="35" t="s">
        <v>31</v>
      </c>
      <c r="B3555" s="7" t="s">
        <v>32</v>
      </c>
      <c r="C3555" s="15">
        <v>45383</v>
      </c>
      <c r="D3555" s="35" t="s">
        <v>33</v>
      </c>
      <c r="E3555" s="7" t="s">
        <v>34</v>
      </c>
      <c r="F3555" s="6"/>
    </row>
    <row r="3556" spans="1:6" ht="15.75" thickBot="1" x14ac:dyDescent="0.3">
      <c r="A3556" s="36"/>
      <c r="B3556" s="7" t="s">
        <v>36</v>
      </c>
      <c r="C3556" s="5">
        <f>IF(C3555="","",IF(AND(MONTH(C3555)&gt;=1,MONTH(C3555)&lt;=3),1,IF(AND(MONTH(C3555)&gt;=4,MONTH(C3555)&lt;=6),2,IF(AND(MONTH(C3555)&gt;=7,MONTH(C3555)&lt;=9),3,4))))</f>
        <v>2</v>
      </c>
      <c r="D3556" s="36"/>
      <c r="E3556" s="7" t="s">
        <v>37</v>
      </c>
      <c r="F3556" s="6"/>
    </row>
    <row r="3557" spans="1:6" ht="15.75" thickBot="1" x14ac:dyDescent="0.3">
      <c r="A3557" s="36"/>
      <c r="B3557" s="7" t="s">
        <v>39</v>
      </c>
      <c r="C3557" s="15">
        <v>45473</v>
      </c>
      <c r="D3557" s="36"/>
      <c r="E3557" s="7" t="s">
        <v>40</v>
      </c>
      <c r="F3557" s="6"/>
    </row>
    <row r="3558" spans="1:6" ht="15.75" thickBot="1" x14ac:dyDescent="0.3">
      <c r="A3558" s="36"/>
      <c r="B3558" s="7" t="s">
        <v>36</v>
      </c>
      <c r="C3558" s="5">
        <f>IF(C3557="","",IF(AND(MONTH(C3557)&gt;=1,MONTH(C3557)&lt;=3),1,IF(AND(MONTH(C3557)&gt;=4,MONTH(C3557)&lt;=6),2,IF(AND(MONTH(C3557)&gt;=7,MONTH(C3557)&lt;=9),3,4))))</f>
        <v>2</v>
      </c>
      <c r="D3558" s="36"/>
      <c r="E3558" s="7" t="s">
        <v>41</v>
      </c>
      <c r="F3558" s="6"/>
    </row>
    <row r="3559" spans="1:6" ht="15.75" thickBot="1" x14ac:dyDescent="0.3">
      <c r="A3559" s="40"/>
      <c r="B3559" s="40"/>
      <c r="C3559" s="40"/>
      <c r="D3559" s="40"/>
      <c r="E3559" s="40"/>
      <c r="F3559" s="40"/>
    </row>
    <row r="3560" spans="1:6" ht="15.75" thickBot="1" x14ac:dyDescent="0.3">
      <c r="A3560" s="12" t="s">
        <v>42</v>
      </c>
      <c r="B3560" s="12" t="s">
        <v>43</v>
      </c>
      <c r="C3560" s="12" t="s">
        <v>44</v>
      </c>
      <c r="D3560" s="12" t="s">
        <v>45</v>
      </c>
      <c r="E3560" s="12" t="s">
        <v>46</v>
      </c>
      <c r="F3560" s="12" t="s">
        <v>47</v>
      </c>
    </row>
    <row r="3561" spans="1:6" x14ac:dyDescent="0.25">
      <c r="A3561" s="8">
        <v>90101603</v>
      </c>
      <c r="B3561" s="9" t="str">
        <f ca="1">IFERROR(INDEX(UNSPSCDes,MATCH(INDIRECT(ADDRESS(ROW(),COLUMN()-1,4)),UNSPSCCode,0)),"")</f>
        <v>Servicios de cáterin</v>
      </c>
      <c r="C3561" s="33" t="s">
        <v>55</v>
      </c>
      <c r="D3561" s="8">
        <v>1200</v>
      </c>
      <c r="E3561" s="11">
        <v>750</v>
      </c>
      <c r="F3561" s="10">
        <f ca="1">INDIRECT(ADDRESS(ROW(),COLUMN()-2,4))*INDIRECT(ADDRESS(ROW(),COLUMN()-1,4))</f>
        <v>900000</v>
      </c>
    </row>
    <row r="3562" spans="1:6" x14ac:dyDescent="0.25">
      <c r="A3562" s="40"/>
      <c r="B3562" s="40"/>
      <c r="C3562" s="40"/>
      <c r="D3562" s="40"/>
      <c r="E3562" s="13" t="s">
        <v>87</v>
      </c>
      <c r="F3562" s="14">
        <f ca="1">SUM(Table3135[MONTO TOTAL ESTIMADO])</f>
        <v>900000</v>
      </c>
    </row>
    <row r="3563" spans="1:6" ht="15.75" thickBot="1" x14ac:dyDescent="0.3">
      <c r="A3563" s="42"/>
      <c r="B3563" s="42"/>
      <c r="C3563" s="42"/>
      <c r="D3563" s="42"/>
      <c r="E3563" s="42"/>
      <c r="F3563" s="42"/>
    </row>
    <row r="3564" spans="1:6" ht="23.25" thickBot="1" x14ac:dyDescent="0.3">
      <c r="A3564" s="4" t="s">
        <v>19</v>
      </c>
      <c r="B3564" s="4" t="s">
        <v>20</v>
      </c>
      <c r="C3564" s="4" t="s">
        <v>21</v>
      </c>
      <c r="D3564" s="4" t="s">
        <v>22</v>
      </c>
      <c r="E3564" s="4" t="s">
        <v>23</v>
      </c>
      <c r="F3564" s="4" t="s">
        <v>24</v>
      </c>
    </row>
    <row r="3565" spans="1:6" ht="15.75" thickBot="1" x14ac:dyDescent="0.3">
      <c r="A3565" s="32" t="s">
        <v>221</v>
      </c>
      <c r="B3565" s="32" t="s">
        <v>500</v>
      </c>
      <c r="C3565" s="32" t="s">
        <v>129</v>
      </c>
      <c r="D3565" s="6" t="s">
        <v>28</v>
      </c>
      <c r="E3565" s="6" t="s">
        <v>262</v>
      </c>
      <c r="F3565" s="6"/>
    </row>
    <row r="3566" spans="1:6" ht="15.75" thickBot="1" x14ac:dyDescent="0.3">
      <c r="A3566" s="35" t="s">
        <v>31</v>
      </c>
      <c r="B3566" s="7" t="s">
        <v>32</v>
      </c>
      <c r="C3566" s="15">
        <v>45383</v>
      </c>
      <c r="D3566" s="35" t="s">
        <v>33</v>
      </c>
      <c r="E3566" s="7" t="s">
        <v>34</v>
      </c>
      <c r="F3566" s="6"/>
    </row>
    <row r="3567" spans="1:6" ht="15.75" thickBot="1" x14ac:dyDescent="0.3">
      <c r="A3567" s="36"/>
      <c r="B3567" s="7" t="s">
        <v>36</v>
      </c>
      <c r="C3567" s="5">
        <f>IF(C3566="","",IF(AND(MONTH(C3566)&gt;=1,MONTH(C3566)&lt;=3),1,IF(AND(MONTH(C3566)&gt;=4,MONTH(C3566)&lt;=6),2,IF(AND(MONTH(C3566)&gt;=7,MONTH(C3566)&lt;=9),3,4))))</f>
        <v>2</v>
      </c>
      <c r="D3567" s="36"/>
      <c r="E3567" s="7" t="s">
        <v>37</v>
      </c>
      <c r="F3567" s="6"/>
    </row>
    <row r="3568" spans="1:6" ht="15.75" thickBot="1" x14ac:dyDescent="0.3">
      <c r="A3568" s="36"/>
      <c r="B3568" s="7" t="s">
        <v>39</v>
      </c>
      <c r="C3568" s="15">
        <v>45473</v>
      </c>
      <c r="D3568" s="36"/>
      <c r="E3568" s="7" t="s">
        <v>40</v>
      </c>
      <c r="F3568" s="6"/>
    </row>
    <row r="3569" spans="1:6" ht="15.75" thickBot="1" x14ac:dyDescent="0.3">
      <c r="A3569" s="36"/>
      <c r="B3569" s="7" t="s">
        <v>36</v>
      </c>
      <c r="C3569" s="5">
        <f>IF(C3568="","",IF(AND(MONTH(C3568)&gt;=1,MONTH(C3568)&lt;=3),1,IF(AND(MONTH(C3568)&gt;=4,MONTH(C3568)&lt;=6),2,IF(AND(MONTH(C3568)&gt;=7,MONTH(C3568)&lt;=9),3,4))))</f>
        <v>2</v>
      </c>
      <c r="D3569" s="36"/>
      <c r="E3569" s="7" t="s">
        <v>41</v>
      </c>
      <c r="F3569" s="6"/>
    </row>
    <row r="3570" spans="1:6" ht="15.75" thickBot="1" x14ac:dyDescent="0.3">
      <c r="A3570" s="40"/>
      <c r="B3570" s="40"/>
      <c r="C3570" s="40"/>
      <c r="D3570" s="40"/>
      <c r="E3570" s="40"/>
      <c r="F3570" s="40"/>
    </row>
    <row r="3571" spans="1:6" ht="15.75" thickBot="1" x14ac:dyDescent="0.3">
      <c r="A3571" s="12" t="s">
        <v>42</v>
      </c>
      <c r="B3571" s="12" t="s">
        <v>43</v>
      </c>
      <c r="C3571" s="12" t="s">
        <v>44</v>
      </c>
      <c r="D3571" s="12" t="s">
        <v>45</v>
      </c>
      <c r="E3571" s="12" t="s">
        <v>46</v>
      </c>
      <c r="F3571" s="12" t="s">
        <v>47</v>
      </c>
    </row>
    <row r="3572" spans="1:6" x14ac:dyDescent="0.25">
      <c r="A3572" s="8">
        <v>90101802</v>
      </c>
      <c r="B3572" s="9" t="str">
        <f ca="1">IFERROR(INDEX(UNSPSCDes,MATCH(INDIRECT(ADDRESS(ROW(),COLUMN()-1,4)),UNSPSCCode,0)),"")</f>
        <v>Servicios de comidas a domicilio</v>
      </c>
      <c r="C3572" s="33" t="s">
        <v>55</v>
      </c>
      <c r="D3572" s="8">
        <v>15</v>
      </c>
      <c r="E3572" s="11">
        <v>1800</v>
      </c>
      <c r="F3572" s="10">
        <f ca="1">INDIRECT(ADDRESS(ROW(),COLUMN()-2,4))*INDIRECT(ADDRESS(ROW(),COLUMN()-1,4))</f>
        <v>27000</v>
      </c>
    </row>
    <row r="3573" spans="1:6" x14ac:dyDescent="0.25">
      <c r="A3573" s="40"/>
      <c r="B3573" s="40"/>
      <c r="C3573" s="40"/>
      <c r="D3573" s="40"/>
      <c r="E3573" s="13" t="s">
        <v>87</v>
      </c>
      <c r="F3573" s="14">
        <f ca="1">SUM(Table3136[MONTO TOTAL ESTIMADO])</f>
        <v>27000</v>
      </c>
    </row>
    <row r="3574" spans="1:6" ht="15.75" thickBot="1" x14ac:dyDescent="0.3">
      <c r="A3574" s="42"/>
      <c r="B3574" s="42"/>
      <c r="C3574" s="42"/>
      <c r="D3574" s="42"/>
      <c r="E3574" s="42"/>
      <c r="F3574" s="42"/>
    </row>
    <row r="3575" spans="1:6" ht="23.25" thickBot="1" x14ac:dyDescent="0.3">
      <c r="A3575" s="4" t="s">
        <v>19</v>
      </c>
      <c r="B3575" s="4" t="s">
        <v>20</v>
      </c>
      <c r="C3575" s="4" t="s">
        <v>21</v>
      </c>
      <c r="D3575" s="4" t="s">
        <v>22</v>
      </c>
      <c r="E3575" s="4" t="s">
        <v>23</v>
      </c>
      <c r="F3575" s="4" t="s">
        <v>24</v>
      </c>
    </row>
    <row r="3576" spans="1:6" ht="15.75" thickBot="1" x14ac:dyDescent="0.3">
      <c r="A3576" s="32" t="s">
        <v>501</v>
      </c>
      <c r="B3576" s="32" t="s">
        <v>490</v>
      </c>
      <c r="C3576" s="32" t="s">
        <v>27</v>
      </c>
      <c r="D3576" s="6" t="s">
        <v>28</v>
      </c>
      <c r="E3576" s="6" t="s">
        <v>262</v>
      </c>
      <c r="F3576" s="6"/>
    </row>
    <row r="3577" spans="1:6" ht="15.75" thickBot="1" x14ac:dyDescent="0.3">
      <c r="A3577" s="35" t="s">
        <v>31</v>
      </c>
      <c r="B3577" s="7" t="s">
        <v>32</v>
      </c>
      <c r="C3577" s="15">
        <v>45383</v>
      </c>
      <c r="D3577" s="35" t="s">
        <v>33</v>
      </c>
      <c r="E3577" s="7" t="s">
        <v>34</v>
      </c>
      <c r="F3577" s="6"/>
    </row>
    <row r="3578" spans="1:6" ht="15.75" thickBot="1" x14ac:dyDescent="0.3">
      <c r="A3578" s="36"/>
      <c r="B3578" s="7" t="s">
        <v>36</v>
      </c>
      <c r="C3578" s="5">
        <f>IF(C3577="","",IF(AND(MONTH(C3577)&gt;=1,MONTH(C3577)&lt;=3),1,IF(AND(MONTH(C3577)&gt;=4,MONTH(C3577)&lt;=6),2,IF(AND(MONTH(C3577)&gt;=7,MONTH(C3577)&lt;=9),3,4))))</f>
        <v>2</v>
      </c>
      <c r="D3578" s="36"/>
      <c r="E3578" s="7" t="s">
        <v>37</v>
      </c>
      <c r="F3578" s="6"/>
    </row>
    <row r="3579" spans="1:6" ht="15.75" thickBot="1" x14ac:dyDescent="0.3">
      <c r="A3579" s="36"/>
      <c r="B3579" s="7" t="s">
        <v>39</v>
      </c>
      <c r="C3579" s="15">
        <v>45473</v>
      </c>
      <c r="D3579" s="36"/>
      <c r="E3579" s="7" t="s">
        <v>40</v>
      </c>
      <c r="F3579" s="6"/>
    </row>
    <row r="3580" spans="1:6" ht="15.75" thickBot="1" x14ac:dyDescent="0.3">
      <c r="A3580" s="36"/>
      <c r="B3580" s="7" t="s">
        <v>36</v>
      </c>
      <c r="C3580" s="5">
        <f>IF(C3579="","",IF(AND(MONTH(C3579)&gt;=1,MONTH(C3579)&lt;=3),1,IF(AND(MONTH(C3579)&gt;=4,MONTH(C3579)&lt;=6),2,IF(AND(MONTH(C3579)&gt;=7,MONTH(C3579)&lt;=9),3,4))))</f>
        <v>2</v>
      </c>
      <c r="D3580" s="36"/>
      <c r="E3580" s="7" t="s">
        <v>41</v>
      </c>
      <c r="F3580" s="6"/>
    </row>
    <row r="3581" spans="1:6" ht="15.75" thickBot="1" x14ac:dyDescent="0.3">
      <c r="A3581" s="40"/>
      <c r="B3581" s="40"/>
      <c r="C3581" s="40"/>
      <c r="D3581" s="40"/>
      <c r="E3581" s="40"/>
      <c r="F3581" s="40"/>
    </row>
    <row r="3582" spans="1:6" ht="15.75" thickBot="1" x14ac:dyDescent="0.3">
      <c r="A3582" s="12" t="s">
        <v>42</v>
      </c>
      <c r="B3582" s="12" t="s">
        <v>43</v>
      </c>
      <c r="C3582" s="12" t="s">
        <v>44</v>
      </c>
      <c r="D3582" s="12" t="s">
        <v>45</v>
      </c>
      <c r="E3582" s="12" t="s">
        <v>46</v>
      </c>
      <c r="F3582" s="12" t="s">
        <v>47</v>
      </c>
    </row>
    <row r="3583" spans="1:6" x14ac:dyDescent="0.25">
      <c r="A3583" s="8">
        <v>14111514</v>
      </c>
      <c r="B3583" s="9" t="str">
        <f t="shared" ref="B3583:B3593" ca="1" si="39">IFERROR(INDEX(UNSPSCDes,MATCH(INDIRECT(ADDRESS(ROW(),COLUMN()-1,4)),UNSPSCCode,0)),"")</f>
        <v>Blocs o cuadernos de papel</v>
      </c>
      <c r="C3583" s="33" t="s">
        <v>55</v>
      </c>
      <c r="D3583" s="8">
        <v>2400</v>
      </c>
      <c r="E3583" s="11">
        <v>92.04</v>
      </c>
      <c r="F3583" s="10">
        <f t="shared" ref="F3583:F3593" ca="1" si="40">INDIRECT(ADDRESS(ROW(),COLUMN()-2,4))*INDIRECT(ADDRESS(ROW(),COLUMN()-1,4))</f>
        <v>220896.00000000003</v>
      </c>
    </row>
    <row r="3584" spans="1:6" x14ac:dyDescent="0.25">
      <c r="A3584" s="8">
        <v>44121706</v>
      </c>
      <c r="B3584" s="9" t="str">
        <f t="shared" ca="1" si="39"/>
        <v>Lápices de madera</v>
      </c>
      <c r="C3584" s="33" t="s">
        <v>49</v>
      </c>
      <c r="D3584" s="8">
        <v>100</v>
      </c>
      <c r="E3584" s="11">
        <v>88.6</v>
      </c>
      <c r="F3584" s="10">
        <f t="shared" ca="1" si="40"/>
        <v>8860</v>
      </c>
    </row>
    <row r="3585" spans="1:6" x14ac:dyDescent="0.25">
      <c r="A3585" s="8">
        <v>44121701</v>
      </c>
      <c r="B3585" s="9" t="str">
        <f t="shared" ca="1" si="39"/>
        <v>Bolígrafos</v>
      </c>
      <c r="C3585" s="33" t="s">
        <v>49</v>
      </c>
      <c r="D3585" s="8">
        <v>100</v>
      </c>
      <c r="E3585" s="11">
        <v>109.84</v>
      </c>
      <c r="F3585" s="10">
        <f t="shared" ca="1" si="40"/>
        <v>10984</v>
      </c>
    </row>
    <row r="3586" spans="1:6" x14ac:dyDescent="0.25">
      <c r="A3586" s="8">
        <v>53121603</v>
      </c>
      <c r="B3586" s="9" t="str">
        <f t="shared" ca="1" si="39"/>
        <v>Morrales</v>
      </c>
      <c r="C3586" s="33" t="s">
        <v>55</v>
      </c>
      <c r="D3586" s="8">
        <v>600</v>
      </c>
      <c r="E3586" s="11">
        <v>973.5</v>
      </c>
      <c r="F3586" s="10">
        <f t="shared" ca="1" si="40"/>
        <v>584100</v>
      </c>
    </row>
    <row r="3587" spans="1:6" x14ac:dyDescent="0.25">
      <c r="A3587" s="8">
        <v>44121804</v>
      </c>
      <c r="B3587" s="9" t="str">
        <f t="shared" ca="1" si="39"/>
        <v>Borradores</v>
      </c>
      <c r="C3587" s="33" t="s">
        <v>55</v>
      </c>
      <c r="D3587" s="8">
        <v>600</v>
      </c>
      <c r="E3587" s="11">
        <v>51.92</v>
      </c>
      <c r="F3587" s="10">
        <f t="shared" ca="1" si="40"/>
        <v>31152</v>
      </c>
    </row>
    <row r="3588" spans="1:6" x14ac:dyDescent="0.25">
      <c r="A3588" s="8">
        <v>44121619</v>
      </c>
      <c r="B3588" s="9" t="str">
        <f t="shared" ca="1" si="39"/>
        <v>Tajalápices manuales</v>
      </c>
      <c r="C3588" s="33" t="s">
        <v>55</v>
      </c>
      <c r="D3588" s="8">
        <v>600</v>
      </c>
      <c r="E3588" s="11">
        <v>23.6</v>
      </c>
      <c r="F3588" s="10">
        <f t="shared" ca="1" si="40"/>
        <v>14160</v>
      </c>
    </row>
    <row r="3589" spans="1:6" x14ac:dyDescent="0.25">
      <c r="A3589" s="8">
        <v>44111509</v>
      </c>
      <c r="B3589" s="9" t="str">
        <f t="shared" ca="1" si="39"/>
        <v>Sujetadores de esferos o lápices</v>
      </c>
      <c r="C3589" s="33" t="s">
        <v>55</v>
      </c>
      <c r="D3589" s="8">
        <v>600</v>
      </c>
      <c r="E3589" s="11">
        <v>135.69999999999999</v>
      </c>
      <c r="F3589" s="10">
        <f t="shared" ca="1" si="40"/>
        <v>81420</v>
      </c>
    </row>
    <row r="3590" spans="1:6" x14ac:dyDescent="0.25">
      <c r="A3590" s="8">
        <v>52152002</v>
      </c>
      <c r="B3590" s="9" t="str">
        <f t="shared" ca="1" si="39"/>
        <v>Contenedores para almacenar alimentos para uso doméstico</v>
      </c>
      <c r="C3590" s="33" t="s">
        <v>55</v>
      </c>
      <c r="D3590" s="8">
        <v>600</v>
      </c>
      <c r="E3590" s="11">
        <v>722.75</v>
      </c>
      <c r="F3590" s="10">
        <f t="shared" ca="1" si="40"/>
        <v>433650</v>
      </c>
    </row>
    <row r="3591" spans="1:6" x14ac:dyDescent="0.25">
      <c r="A3591" s="8">
        <v>44111803</v>
      </c>
      <c r="B3591" s="9" t="str">
        <f t="shared" ca="1" si="39"/>
        <v>Compases</v>
      </c>
      <c r="C3591" s="33" t="s">
        <v>55</v>
      </c>
      <c r="D3591" s="8">
        <v>600</v>
      </c>
      <c r="E3591" s="11">
        <v>45.78</v>
      </c>
      <c r="F3591" s="10">
        <f t="shared" ca="1" si="40"/>
        <v>27468</v>
      </c>
    </row>
    <row r="3592" spans="1:6" x14ac:dyDescent="0.25">
      <c r="A3592" s="8">
        <v>44111812</v>
      </c>
      <c r="B3592" s="9" t="str">
        <f t="shared" ca="1" si="39"/>
        <v>Kits o sets de dibujo</v>
      </c>
      <c r="C3592" s="33" t="s">
        <v>55</v>
      </c>
      <c r="D3592" s="8">
        <v>600</v>
      </c>
      <c r="E3592" s="11">
        <v>37.909999999999997</v>
      </c>
      <c r="F3592" s="10">
        <f t="shared" ca="1" si="40"/>
        <v>22745.999999999996</v>
      </c>
    </row>
    <row r="3593" spans="1:6" x14ac:dyDescent="0.25">
      <c r="A3593" s="8">
        <v>44121707</v>
      </c>
      <c r="B3593" s="9" t="str">
        <f t="shared" ca="1" si="39"/>
        <v>Lápices de colores</v>
      </c>
      <c r="C3593" s="33" t="s">
        <v>49</v>
      </c>
      <c r="D3593" s="8">
        <v>600</v>
      </c>
      <c r="E3593" s="11">
        <v>107.43</v>
      </c>
      <c r="F3593" s="10">
        <f t="shared" ca="1" si="40"/>
        <v>64458.000000000007</v>
      </c>
    </row>
    <row r="3594" spans="1:6" x14ac:dyDescent="0.25">
      <c r="A3594" s="40"/>
      <c r="B3594" s="40"/>
      <c r="C3594" s="40"/>
      <c r="D3594" s="40"/>
      <c r="E3594" s="13" t="s">
        <v>87</v>
      </c>
      <c r="F3594" s="14">
        <f ca="1">SUM(Table3137[MONTO TOTAL ESTIMADO])</f>
        <v>1499894</v>
      </c>
    </row>
    <row r="3595" spans="1:6" ht="15.75" thickBot="1" x14ac:dyDescent="0.3">
      <c r="A3595" s="42"/>
      <c r="B3595" s="42"/>
      <c r="C3595" s="42"/>
      <c r="D3595" s="42"/>
      <c r="E3595" s="42"/>
      <c r="F3595" s="42"/>
    </row>
    <row r="3596" spans="1:6" ht="23.25" thickBot="1" x14ac:dyDescent="0.3">
      <c r="A3596" s="4" t="s">
        <v>19</v>
      </c>
      <c r="B3596" s="4" t="s">
        <v>20</v>
      </c>
      <c r="C3596" s="4" t="s">
        <v>21</v>
      </c>
      <c r="D3596" s="4" t="s">
        <v>22</v>
      </c>
      <c r="E3596" s="4" t="s">
        <v>23</v>
      </c>
      <c r="F3596" s="4" t="s">
        <v>24</v>
      </c>
    </row>
    <row r="3597" spans="1:6" ht="15.75" thickBot="1" x14ac:dyDescent="0.3">
      <c r="A3597" s="32" t="s">
        <v>502</v>
      </c>
      <c r="B3597" s="32" t="s">
        <v>503</v>
      </c>
      <c r="C3597" s="32" t="s">
        <v>27</v>
      </c>
      <c r="D3597" s="6" t="s">
        <v>188</v>
      </c>
      <c r="E3597" s="6" t="s">
        <v>262</v>
      </c>
      <c r="F3597" s="6"/>
    </row>
    <row r="3598" spans="1:6" ht="15.75" thickBot="1" x14ac:dyDescent="0.3">
      <c r="A3598" s="35" t="s">
        <v>31</v>
      </c>
      <c r="B3598" s="7" t="s">
        <v>32</v>
      </c>
      <c r="C3598" s="15">
        <v>45383</v>
      </c>
      <c r="D3598" s="35" t="s">
        <v>33</v>
      </c>
      <c r="E3598" s="7" t="s">
        <v>34</v>
      </c>
      <c r="F3598" s="6"/>
    </row>
    <row r="3599" spans="1:6" ht="15.75" thickBot="1" x14ac:dyDescent="0.3">
      <c r="A3599" s="36"/>
      <c r="B3599" s="7" t="s">
        <v>36</v>
      </c>
      <c r="C3599" s="5">
        <f>IF(C3598="","",IF(AND(MONTH(C3598)&gt;=1,MONTH(C3598)&lt;=3),1,IF(AND(MONTH(C3598)&gt;=4,MONTH(C3598)&lt;=6),2,IF(AND(MONTH(C3598)&gt;=7,MONTH(C3598)&lt;=9),3,4))))</f>
        <v>2</v>
      </c>
      <c r="D3599" s="36"/>
      <c r="E3599" s="7" t="s">
        <v>37</v>
      </c>
      <c r="F3599" s="6"/>
    </row>
    <row r="3600" spans="1:6" ht="15.75" thickBot="1" x14ac:dyDescent="0.3">
      <c r="A3600" s="36"/>
      <c r="B3600" s="7" t="s">
        <v>39</v>
      </c>
      <c r="C3600" s="15">
        <v>45473</v>
      </c>
      <c r="D3600" s="36"/>
      <c r="E3600" s="7" t="s">
        <v>40</v>
      </c>
      <c r="F3600" s="6"/>
    </row>
    <row r="3601" spans="1:6" ht="15.75" thickBot="1" x14ac:dyDescent="0.3">
      <c r="A3601" s="36"/>
      <c r="B3601" s="7" t="s">
        <v>36</v>
      </c>
      <c r="C3601" s="5">
        <f>IF(C3600="","",IF(AND(MONTH(C3600)&gt;=1,MONTH(C3600)&lt;=3),1,IF(AND(MONTH(C3600)&gt;=4,MONTH(C3600)&lt;=6),2,IF(AND(MONTH(C3600)&gt;=7,MONTH(C3600)&lt;=9),3,4))))</f>
        <v>2</v>
      </c>
      <c r="D3601" s="36"/>
      <c r="E3601" s="7" t="s">
        <v>41</v>
      </c>
      <c r="F3601" s="6"/>
    </row>
    <row r="3602" spans="1:6" ht="15.75" thickBot="1" x14ac:dyDescent="0.3">
      <c r="A3602" s="40"/>
      <c r="B3602" s="40"/>
      <c r="C3602" s="40"/>
      <c r="D3602" s="40"/>
      <c r="E3602" s="40"/>
      <c r="F3602" s="40"/>
    </row>
    <row r="3603" spans="1:6" ht="15.75" thickBot="1" x14ac:dyDescent="0.3">
      <c r="A3603" s="12" t="s">
        <v>42</v>
      </c>
      <c r="B3603" s="12" t="s">
        <v>43</v>
      </c>
      <c r="C3603" s="12" t="s">
        <v>44</v>
      </c>
      <c r="D3603" s="12" t="s">
        <v>45</v>
      </c>
      <c r="E3603" s="12" t="s">
        <v>46</v>
      </c>
      <c r="F3603" s="12" t="s">
        <v>47</v>
      </c>
    </row>
    <row r="3604" spans="1:6" x14ac:dyDescent="0.25">
      <c r="A3604" s="8">
        <v>52131501</v>
      </c>
      <c r="B3604" s="9" t="str">
        <f ca="1">IFERROR(INDEX(UNSPSCDes,MATCH(INDIRECT(ADDRESS(ROW(),COLUMN()-1,4)),UNSPSCCode,0)),"")</f>
        <v>Cortinas</v>
      </c>
      <c r="C3604" s="33" t="s">
        <v>55</v>
      </c>
      <c r="D3604" s="8">
        <v>4</v>
      </c>
      <c r="E3604" s="11">
        <v>22000</v>
      </c>
      <c r="F3604" s="10">
        <f ca="1">INDIRECT(ADDRESS(ROW(),COLUMN()-2,4))*INDIRECT(ADDRESS(ROW(),COLUMN()-1,4))</f>
        <v>88000</v>
      </c>
    </row>
    <row r="3605" spans="1:6" x14ac:dyDescent="0.25">
      <c r="A3605" s="40"/>
      <c r="B3605" s="40"/>
      <c r="C3605" s="40"/>
      <c r="D3605" s="40"/>
      <c r="E3605" s="13" t="s">
        <v>87</v>
      </c>
      <c r="F3605" s="14">
        <f ca="1">SUM(Table3138[MONTO TOTAL ESTIMADO])</f>
        <v>88000</v>
      </c>
    </row>
    <row r="3606" spans="1:6" ht="15.75" thickBot="1" x14ac:dyDescent="0.3">
      <c r="A3606" s="42"/>
      <c r="B3606" s="42"/>
      <c r="C3606" s="42"/>
      <c r="D3606" s="42"/>
      <c r="E3606" s="42"/>
      <c r="F3606" s="42"/>
    </row>
    <row r="3607" spans="1:6" ht="23.25" thickBot="1" x14ac:dyDescent="0.3">
      <c r="A3607" s="4" t="s">
        <v>19</v>
      </c>
      <c r="B3607" s="4" t="s">
        <v>20</v>
      </c>
      <c r="C3607" s="4" t="s">
        <v>21</v>
      </c>
      <c r="D3607" s="4" t="s">
        <v>22</v>
      </c>
      <c r="E3607" s="4" t="s">
        <v>23</v>
      </c>
      <c r="F3607" s="4" t="s">
        <v>24</v>
      </c>
    </row>
    <row r="3608" spans="1:6" ht="15.75" thickBot="1" x14ac:dyDescent="0.3">
      <c r="A3608" s="32" t="s">
        <v>502</v>
      </c>
      <c r="B3608" s="32" t="s">
        <v>503</v>
      </c>
      <c r="C3608" s="32" t="s">
        <v>27</v>
      </c>
      <c r="D3608" s="6" t="s">
        <v>28</v>
      </c>
      <c r="E3608" s="6" t="s">
        <v>262</v>
      </c>
      <c r="F3608" s="6"/>
    </row>
    <row r="3609" spans="1:6" ht="15.75" thickBot="1" x14ac:dyDescent="0.3">
      <c r="A3609" s="35" t="s">
        <v>31</v>
      </c>
      <c r="B3609" s="7" t="s">
        <v>32</v>
      </c>
      <c r="C3609" s="15">
        <v>45383</v>
      </c>
      <c r="D3609" s="35" t="s">
        <v>33</v>
      </c>
      <c r="E3609" s="7" t="s">
        <v>34</v>
      </c>
      <c r="F3609" s="6"/>
    </row>
    <row r="3610" spans="1:6" ht="15.75" thickBot="1" x14ac:dyDescent="0.3">
      <c r="A3610" s="36"/>
      <c r="B3610" s="7" t="s">
        <v>36</v>
      </c>
      <c r="C3610" s="5">
        <f>IF(C3609="","",IF(AND(MONTH(C3609)&gt;=1,MONTH(C3609)&lt;=3),1,IF(AND(MONTH(C3609)&gt;=4,MONTH(C3609)&lt;=6),2,IF(AND(MONTH(C3609)&gt;=7,MONTH(C3609)&lt;=9),3,4))))</f>
        <v>2</v>
      </c>
      <c r="D3610" s="36"/>
      <c r="E3610" s="7" t="s">
        <v>37</v>
      </c>
      <c r="F3610" s="6"/>
    </row>
    <row r="3611" spans="1:6" ht="15.75" thickBot="1" x14ac:dyDescent="0.3">
      <c r="A3611" s="36"/>
      <c r="B3611" s="7" t="s">
        <v>39</v>
      </c>
      <c r="C3611" s="15">
        <v>45473</v>
      </c>
      <c r="D3611" s="36"/>
      <c r="E3611" s="7" t="s">
        <v>40</v>
      </c>
      <c r="F3611" s="6"/>
    </row>
    <row r="3612" spans="1:6" ht="15.75" thickBot="1" x14ac:dyDescent="0.3">
      <c r="A3612" s="36"/>
      <c r="B3612" s="7" t="s">
        <v>36</v>
      </c>
      <c r="C3612" s="5">
        <f>IF(C3611="","",IF(AND(MONTH(C3611)&gt;=1,MONTH(C3611)&lt;=3),1,IF(AND(MONTH(C3611)&gt;=4,MONTH(C3611)&lt;=6),2,IF(AND(MONTH(C3611)&gt;=7,MONTH(C3611)&lt;=9),3,4))))</f>
        <v>2</v>
      </c>
      <c r="D3612" s="36"/>
      <c r="E3612" s="7" t="s">
        <v>41</v>
      </c>
      <c r="F3612" s="6"/>
    </row>
    <row r="3613" spans="1:6" ht="15.75" thickBot="1" x14ac:dyDescent="0.3">
      <c r="A3613" s="40"/>
      <c r="B3613" s="40"/>
      <c r="C3613" s="40"/>
      <c r="D3613" s="40"/>
      <c r="E3613" s="40"/>
      <c r="F3613" s="40"/>
    </row>
    <row r="3614" spans="1:6" ht="15.75" thickBot="1" x14ac:dyDescent="0.3">
      <c r="A3614" s="12" t="s">
        <v>42</v>
      </c>
      <c r="B3614" s="12" t="s">
        <v>43</v>
      </c>
      <c r="C3614" s="12" t="s">
        <v>44</v>
      </c>
      <c r="D3614" s="12" t="s">
        <v>45</v>
      </c>
      <c r="E3614" s="12" t="s">
        <v>46</v>
      </c>
      <c r="F3614" s="12" t="s">
        <v>47</v>
      </c>
    </row>
    <row r="3615" spans="1:6" x14ac:dyDescent="0.25">
      <c r="A3615" s="8">
        <v>52131501</v>
      </c>
      <c r="B3615" s="9" t="str">
        <f ca="1">IFERROR(INDEX(UNSPSCDes,MATCH(INDIRECT(ADDRESS(ROW(),COLUMN()-1,4)),UNSPSCCode,0)),"")</f>
        <v>Cortinas</v>
      </c>
      <c r="C3615" s="33" t="s">
        <v>55</v>
      </c>
      <c r="D3615" s="8">
        <v>10</v>
      </c>
      <c r="E3615" s="11">
        <v>22000</v>
      </c>
      <c r="F3615" s="10">
        <f ca="1">INDIRECT(ADDRESS(ROW(),COLUMN()-2,4))*INDIRECT(ADDRESS(ROW(),COLUMN()-1,4))</f>
        <v>220000</v>
      </c>
    </row>
    <row r="3616" spans="1:6" x14ac:dyDescent="0.25">
      <c r="A3616" s="40"/>
      <c r="B3616" s="40"/>
      <c r="C3616" s="40"/>
      <c r="D3616" s="40"/>
      <c r="E3616" s="13" t="s">
        <v>87</v>
      </c>
      <c r="F3616" s="14">
        <f ca="1">SUM(Table3139[MONTO TOTAL ESTIMADO])</f>
        <v>220000</v>
      </c>
    </row>
    <row r="3617" spans="1:6" ht="15.75" thickBot="1" x14ac:dyDescent="0.3">
      <c r="A3617" s="42"/>
      <c r="B3617" s="42"/>
      <c r="C3617" s="42"/>
      <c r="D3617" s="42"/>
      <c r="E3617" s="42"/>
      <c r="F3617" s="42"/>
    </row>
    <row r="3618" spans="1:6" ht="23.25" thickBot="1" x14ac:dyDescent="0.3">
      <c r="A3618" s="4" t="s">
        <v>19</v>
      </c>
      <c r="B3618" s="4" t="s">
        <v>20</v>
      </c>
      <c r="C3618" s="4" t="s">
        <v>21</v>
      </c>
      <c r="D3618" s="4" t="s">
        <v>22</v>
      </c>
      <c r="E3618" s="4" t="s">
        <v>23</v>
      </c>
      <c r="F3618" s="4" t="s">
        <v>24</v>
      </c>
    </row>
    <row r="3619" spans="1:6" ht="15.75" thickBot="1" x14ac:dyDescent="0.3">
      <c r="A3619" s="32" t="s">
        <v>462</v>
      </c>
      <c r="B3619" s="32" t="s">
        <v>463</v>
      </c>
      <c r="C3619" s="32" t="s">
        <v>27</v>
      </c>
      <c r="D3619" s="6" t="s">
        <v>28</v>
      </c>
      <c r="E3619" s="6" t="s">
        <v>262</v>
      </c>
      <c r="F3619" s="6"/>
    </row>
    <row r="3620" spans="1:6" ht="15.75" thickBot="1" x14ac:dyDescent="0.3">
      <c r="A3620" s="35" t="s">
        <v>31</v>
      </c>
      <c r="B3620" s="7" t="s">
        <v>32</v>
      </c>
      <c r="C3620" s="15">
        <v>45383</v>
      </c>
      <c r="D3620" s="35" t="s">
        <v>33</v>
      </c>
      <c r="E3620" s="7" t="s">
        <v>34</v>
      </c>
      <c r="F3620" s="6"/>
    </row>
    <row r="3621" spans="1:6" ht="15.75" thickBot="1" x14ac:dyDescent="0.3">
      <c r="A3621" s="36"/>
      <c r="B3621" s="7" t="s">
        <v>36</v>
      </c>
      <c r="C3621" s="5">
        <f>IF(C3620="","",IF(AND(MONTH(C3620)&gt;=1,MONTH(C3620)&lt;=3),1,IF(AND(MONTH(C3620)&gt;=4,MONTH(C3620)&lt;=6),2,IF(AND(MONTH(C3620)&gt;=7,MONTH(C3620)&lt;=9),3,4))))</f>
        <v>2</v>
      </c>
      <c r="D3621" s="36"/>
      <c r="E3621" s="7" t="s">
        <v>37</v>
      </c>
      <c r="F3621" s="6"/>
    </row>
    <row r="3622" spans="1:6" ht="15.75" thickBot="1" x14ac:dyDescent="0.3">
      <c r="A3622" s="36"/>
      <c r="B3622" s="7" t="s">
        <v>39</v>
      </c>
      <c r="C3622" s="15">
        <v>45473</v>
      </c>
      <c r="D3622" s="36"/>
      <c r="E3622" s="7" t="s">
        <v>40</v>
      </c>
      <c r="F3622" s="6"/>
    </row>
    <row r="3623" spans="1:6" ht="15.75" thickBot="1" x14ac:dyDescent="0.3">
      <c r="A3623" s="36"/>
      <c r="B3623" s="7" t="s">
        <v>36</v>
      </c>
      <c r="C3623" s="5">
        <f>IF(C3622="","",IF(AND(MONTH(C3622)&gt;=1,MONTH(C3622)&lt;=3),1,IF(AND(MONTH(C3622)&gt;=4,MONTH(C3622)&lt;=6),2,IF(AND(MONTH(C3622)&gt;=7,MONTH(C3622)&lt;=9),3,4))))</f>
        <v>2</v>
      </c>
      <c r="D3623" s="36"/>
      <c r="E3623" s="7" t="s">
        <v>41</v>
      </c>
      <c r="F3623" s="6"/>
    </row>
    <row r="3624" spans="1:6" ht="15.75" thickBot="1" x14ac:dyDescent="0.3">
      <c r="A3624" s="40"/>
      <c r="B3624" s="40"/>
      <c r="C3624" s="40"/>
      <c r="D3624" s="40"/>
      <c r="E3624" s="40"/>
      <c r="F3624" s="40"/>
    </row>
    <row r="3625" spans="1:6" ht="15.75" thickBot="1" x14ac:dyDescent="0.3">
      <c r="A3625" s="12" t="s">
        <v>42</v>
      </c>
      <c r="B3625" s="12" t="s">
        <v>43</v>
      </c>
      <c r="C3625" s="12" t="s">
        <v>44</v>
      </c>
      <c r="D3625" s="12" t="s">
        <v>45</v>
      </c>
      <c r="E3625" s="12" t="s">
        <v>46</v>
      </c>
      <c r="F3625" s="12" t="s">
        <v>47</v>
      </c>
    </row>
    <row r="3626" spans="1:6" x14ac:dyDescent="0.25">
      <c r="A3626" s="8">
        <v>50161509</v>
      </c>
      <c r="B3626" s="9" t="str">
        <f t="shared" ref="B3626:B3639" ca="1" si="41">IFERROR(INDEX(UNSPSCDes,MATCH(INDIRECT(ADDRESS(ROW(),COLUMN()-1,4)),UNSPSCCode,0)),"")</f>
        <v>Azucares naturales o productos endulzantes</v>
      </c>
      <c r="C3626" s="33" t="s">
        <v>74</v>
      </c>
      <c r="D3626" s="8">
        <v>500</v>
      </c>
      <c r="E3626" s="11">
        <v>83.78</v>
      </c>
      <c r="F3626" s="10">
        <f t="shared" ref="F3626:F3639" ca="1" si="42">INDIRECT(ADDRESS(ROW(),COLUMN()-2,4))*INDIRECT(ADDRESS(ROW(),COLUMN()-1,4))</f>
        <v>41890</v>
      </c>
    </row>
    <row r="3627" spans="1:6" x14ac:dyDescent="0.25">
      <c r="A3627" s="8">
        <v>50221101</v>
      </c>
      <c r="B3627" s="9" t="str">
        <f t="shared" ca="1" si="41"/>
        <v>Grano de cereal</v>
      </c>
      <c r="C3627" s="33" t="s">
        <v>74</v>
      </c>
      <c r="D3627" s="8">
        <v>500</v>
      </c>
      <c r="E3627" s="11">
        <v>231.38</v>
      </c>
      <c r="F3627" s="10">
        <f t="shared" ca="1" si="42"/>
        <v>115690</v>
      </c>
    </row>
    <row r="3628" spans="1:6" x14ac:dyDescent="0.25">
      <c r="A3628" s="8">
        <v>50151513</v>
      </c>
      <c r="B3628" s="9" t="str">
        <f t="shared" ca="1" si="41"/>
        <v>Aceites vegetales o  de planta comestibles</v>
      </c>
      <c r="C3628" s="33" t="s">
        <v>55</v>
      </c>
      <c r="D3628" s="8">
        <v>500</v>
      </c>
      <c r="E3628" s="11">
        <v>132.16</v>
      </c>
      <c r="F3628" s="10">
        <f t="shared" ca="1" si="42"/>
        <v>66080</v>
      </c>
    </row>
    <row r="3629" spans="1:6" x14ac:dyDescent="0.25">
      <c r="A3629" s="8">
        <v>50192111</v>
      </c>
      <c r="B3629" s="9" t="str">
        <f t="shared" ca="1" si="41"/>
        <v>Carne seca o procesada</v>
      </c>
      <c r="C3629" s="33" t="s">
        <v>55</v>
      </c>
      <c r="D3629" s="8">
        <v>500</v>
      </c>
      <c r="E3629" s="11">
        <v>619.5</v>
      </c>
      <c r="F3629" s="10">
        <f t="shared" ca="1" si="42"/>
        <v>309750</v>
      </c>
    </row>
    <row r="3630" spans="1:6" x14ac:dyDescent="0.25">
      <c r="A3630" s="8">
        <v>50201706</v>
      </c>
      <c r="B3630" s="9" t="str">
        <f t="shared" ca="1" si="41"/>
        <v>Café</v>
      </c>
      <c r="C3630" s="33" t="s">
        <v>74</v>
      </c>
      <c r="D3630" s="8">
        <v>500</v>
      </c>
      <c r="E3630" s="11">
        <v>188.8</v>
      </c>
      <c r="F3630" s="10">
        <f t="shared" ca="1" si="42"/>
        <v>94400</v>
      </c>
    </row>
    <row r="3631" spans="1:6" x14ac:dyDescent="0.25">
      <c r="A3631" s="8">
        <v>50171831</v>
      </c>
      <c r="B3631" s="9" t="str">
        <f t="shared" ca="1" si="41"/>
        <v>Salsas para cocinar</v>
      </c>
      <c r="C3631" s="33" t="s">
        <v>55</v>
      </c>
      <c r="D3631" s="8">
        <v>500</v>
      </c>
      <c r="E3631" s="11">
        <v>105.2</v>
      </c>
      <c r="F3631" s="10">
        <f t="shared" ca="1" si="42"/>
        <v>52600</v>
      </c>
    </row>
    <row r="3632" spans="1:6" x14ac:dyDescent="0.25">
      <c r="A3632" s="8">
        <v>50121538</v>
      </c>
      <c r="B3632" s="9" t="str">
        <f t="shared" ca="1" si="41"/>
        <v>Pescado almacenado en repisa</v>
      </c>
      <c r="C3632" s="33" t="s">
        <v>55</v>
      </c>
      <c r="D3632" s="8">
        <v>500</v>
      </c>
      <c r="E3632" s="11">
        <v>142.78</v>
      </c>
      <c r="F3632" s="10">
        <f t="shared" ca="1" si="42"/>
        <v>71390</v>
      </c>
    </row>
    <row r="3633" spans="1:6" x14ac:dyDescent="0.25">
      <c r="A3633" s="8">
        <v>50192902</v>
      </c>
      <c r="B3633" s="9" t="str">
        <f t="shared" ca="1" si="41"/>
        <v>Pasta o fideos de repisa</v>
      </c>
      <c r="C3633" s="33" t="s">
        <v>55</v>
      </c>
      <c r="D3633" s="8">
        <v>500</v>
      </c>
      <c r="E3633" s="11">
        <v>48.38</v>
      </c>
      <c r="F3633" s="10">
        <f t="shared" ca="1" si="42"/>
        <v>24190</v>
      </c>
    </row>
    <row r="3634" spans="1:6" x14ac:dyDescent="0.25">
      <c r="A3634" s="8">
        <v>50101543</v>
      </c>
      <c r="B3634" s="9" t="str">
        <f t="shared" ca="1" si="41"/>
        <v>Judías secas</v>
      </c>
      <c r="C3634" s="33" t="s">
        <v>55</v>
      </c>
      <c r="D3634" s="8">
        <v>500</v>
      </c>
      <c r="E3634" s="11">
        <v>178.18</v>
      </c>
      <c r="F3634" s="10">
        <f t="shared" ca="1" si="42"/>
        <v>89090</v>
      </c>
    </row>
    <row r="3635" spans="1:6" x14ac:dyDescent="0.25">
      <c r="A3635" s="8">
        <v>50131701</v>
      </c>
      <c r="B3635" s="9" t="str">
        <f t="shared" ca="1" si="41"/>
        <v>Productos de leche o mantequilla frescos</v>
      </c>
      <c r="C3635" s="33" t="s">
        <v>55</v>
      </c>
      <c r="D3635" s="8">
        <v>500</v>
      </c>
      <c r="E3635" s="11">
        <v>384.68</v>
      </c>
      <c r="F3635" s="10">
        <f t="shared" ca="1" si="42"/>
        <v>192340</v>
      </c>
    </row>
    <row r="3636" spans="1:6" x14ac:dyDescent="0.25">
      <c r="A3636" s="8">
        <v>50121538</v>
      </c>
      <c r="B3636" s="9" t="str">
        <f t="shared" ca="1" si="41"/>
        <v>Pescado almacenado en repisa</v>
      </c>
      <c r="C3636" s="33" t="s">
        <v>55</v>
      </c>
      <c r="D3636" s="8">
        <v>500</v>
      </c>
      <c r="E3636" s="11">
        <v>148.68</v>
      </c>
      <c r="F3636" s="10">
        <f t="shared" ca="1" si="42"/>
        <v>74340</v>
      </c>
    </row>
    <row r="3637" spans="1:6" x14ac:dyDescent="0.25">
      <c r="A3637" s="8">
        <v>50101542</v>
      </c>
      <c r="B3637" s="9" t="str">
        <f t="shared" ca="1" si="41"/>
        <v>Harina vegetal</v>
      </c>
      <c r="C3637" s="33" t="s">
        <v>55</v>
      </c>
      <c r="D3637" s="8">
        <v>500</v>
      </c>
      <c r="E3637" s="11">
        <v>34.22</v>
      </c>
      <c r="F3637" s="10">
        <f t="shared" ca="1" si="42"/>
        <v>17110</v>
      </c>
    </row>
    <row r="3638" spans="1:6" x14ac:dyDescent="0.25">
      <c r="A3638" s="8">
        <v>50161511</v>
      </c>
      <c r="B3638" s="9" t="str">
        <f t="shared" ca="1" si="41"/>
        <v>Chocolate o sustituto de chocolate</v>
      </c>
      <c r="C3638" s="33" t="s">
        <v>55</v>
      </c>
      <c r="D3638" s="8">
        <v>500</v>
      </c>
      <c r="E3638" s="11">
        <v>112.1</v>
      </c>
      <c r="F3638" s="10">
        <f t="shared" ca="1" si="42"/>
        <v>56050</v>
      </c>
    </row>
    <row r="3639" spans="1:6" x14ac:dyDescent="0.25">
      <c r="A3639" s="8">
        <v>50221101</v>
      </c>
      <c r="B3639" s="9" t="str">
        <f t="shared" ca="1" si="41"/>
        <v>Grano de cereal</v>
      </c>
      <c r="C3639" s="33" t="s">
        <v>55</v>
      </c>
      <c r="D3639" s="8">
        <v>500</v>
      </c>
      <c r="E3639" s="11">
        <v>113.28</v>
      </c>
      <c r="F3639" s="10">
        <f t="shared" ca="1" si="42"/>
        <v>56640</v>
      </c>
    </row>
    <row r="3640" spans="1:6" x14ac:dyDescent="0.25">
      <c r="A3640" s="40"/>
      <c r="B3640" s="40"/>
      <c r="C3640" s="40"/>
      <c r="D3640" s="40"/>
      <c r="E3640" s="13" t="s">
        <v>87</v>
      </c>
      <c r="F3640" s="14">
        <f ca="1">SUM(Table3140[MONTO TOTAL ESTIMADO])</f>
        <v>1261560</v>
      </c>
    </row>
    <row r="3641" spans="1:6" ht="15.75" thickBot="1" x14ac:dyDescent="0.3">
      <c r="A3641" s="42"/>
      <c r="B3641" s="42"/>
      <c r="C3641" s="42"/>
      <c r="D3641" s="42"/>
      <c r="E3641" s="42"/>
      <c r="F3641" s="42"/>
    </row>
    <row r="3642" spans="1:6" ht="23.25" thickBot="1" x14ac:dyDescent="0.3">
      <c r="A3642" s="4" t="s">
        <v>19</v>
      </c>
      <c r="B3642" s="4" t="s">
        <v>20</v>
      </c>
      <c r="C3642" s="4" t="s">
        <v>21</v>
      </c>
      <c r="D3642" s="4" t="s">
        <v>22</v>
      </c>
      <c r="E3642" s="4" t="s">
        <v>23</v>
      </c>
      <c r="F3642" s="4" t="s">
        <v>24</v>
      </c>
    </row>
    <row r="3643" spans="1:6" ht="15.75" thickBot="1" x14ac:dyDescent="0.3">
      <c r="A3643" s="32" t="s">
        <v>504</v>
      </c>
      <c r="B3643" s="32" t="s">
        <v>505</v>
      </c>
      <c r="C3643" s="32" t="s">
        <v>129</v>
      </c>
      <c r="D3643" s="6" t="s">
        <v>28</v>
      </c>
      <c r="E3643" s="6" t="s">
        <v>262</v>
      </c>
      <c r="F3643" s="6"/>
    </row>
    <row r="3644" spans="1:6" ht="15.75" thickBot="1" x14ac:dyDescent="0.3">
      <c r="A3644" s="35" t="s">
        <v>31</v>
      </c>
      <c r="B3644" s="7" t="s">
        <v>32</v>
      </c>
      <c r="C3644" s="15">
        <v>45383</v>
      </c>
      <c r="D3644" s="35" t="s">
        <v>33</v>
      </c>
      <c r="E3644" s="7" t="s">
        <v>34</v>
      </c>
      <c r="F3644" s="6"/>
    </row>
    <row r="3645" spans="1:6" ht="15.75" thickBot="1" x14ac:dyDescent="0.3">
      <c r="A3645" s="36"/>
      <c r="B3645" s="7" t="s">
        <v>36</v>
      </c>
      <c r="C3645" s="5">
        <f>IF(C3644="","",IF(AND(MONTH(C3644)&gt;=1,MONTH(C3644)&lt;=3),1,IF(AND(MONTH(C3644)&gt;=4,MONTH(C3644)&lt;=6),2,IF(AND(MONTH(C3644)&gt;=7,MONTH(C3644)&lt;=9),3,4))))</f>
        <v>2</v>
      </c>
      <c r="D3645" s="36"/>
      <c r="E3645" s="7" t="s">
        <v>37</v>
      </c>
      <c r="F3645" s="6"/>
    </row>
    <row r="3646" spans="1:6" ht="15.75" thickBot="1" x14ac:dyDescent="0.3">
      <c r="A3646" s="36"/>
      <c r="B3646" s="7" t="s">
        <v>39</v>
      </c>
      <c r="C3646" s="15">
        <v>45473</v>
      </c>
      <c r="D3646" s="36"/>
      <c r="E3646" s="7" t="s">
        <v>40</v>
      </c>
      <c r="F3646" s="6"/>
    </row>
    <row r="3647" spans="1:6" ht="15.75" thickBot="1" x14ac:dyDescent="0.3">
      <c r="A3647" s="36"/>
      <c r="B3647" s="7" t="s">
        <v>36</v>
      </c>
      <c r="C3647" s="5">
        <f>IF(C3646="","",IF(AND(MONTH(C3646)&gt;=1,MONTH(C3646)&lt;=3),1,IF(AND(MONTH(C3646)&gt;=4,MONTH(C3646)&lt;=6),2,IF(AND(MONTH(C3646)&gt;=7,MONTH(C3646)&lt;=9),3,4))))</f>
        <v>2</v>
      </c>
      <c r="D3647" s="36"/>
      <c r="E3647" s="7" t="s">
        <v>41</v>
      </c>
      <c r="F3647" s="6"/>
    </row>
    <row r="3648" spans="1:6" ht="15.75" thickBot="1" x14ac:dyDescent="0.3">
      <c r="A3648" s="40"/>
      <c r="B3648" s="40"/>
      <c r="C3648" s="40"/>
      <c r="D3648" s="40"/>
      <c r="E3648" s="40"/>
      <c r="F3648" s="40"/>
    </row>
    <row r="3649" spans="1:6" ht="15.75" thickBot="1" x14ac:dyDescent="0.3">
      <c r="A3649" s="12" t="s">
        <v>42</v>
      </c>
      <c r="B3649" s="12" t="s">
        <v>43</v>
      </c>
      <c r="C3649" s="12" t="s">
        <v>44</v>
      </c>
      <c r="D3649" s="12" t="s">
        <v>45</v>
      </c>
      <c r="E3649" s="12" t="s">
        <v>46</v>
      </c>
      <c r="F3649" s="12" t="s">
        <v>47</v>
      </c>
    </row>
    <row r="3650" spans="1:6" x14ac:dyDescent="0.25">
      <c r="A3650" s="8">
        <v>90121502</v>
      </c>
      <c r="B3650" s="9" t="str">
        <f ca="1">IFERROR(INDEX(UNSPSCDes,MATCH(INDIRECT(ADDRESS(ROW(),COLUMN()-1,4)),UNSPSCCode,0)),"")</f>
        <v>Agencias de viajes</v>
      </c>
      <c r="C3650" s="33" t="s">
        <v>55</v>
      </c>
      <c r="D3650" s="8">
        <v>1</v>
      </c>
      <c r="E3650" s="11">
        <v>950000</v>
      </c>
      <c r="F3650" s="10">
        <f ca="1">INDIRECT(ADDRESS(ROW(),COLUMN()-2,4))*INDIRECT(ADDRESS(ROW(),COLUMN()-1,4))</f>
        <v>950000</v>
      </c>
    </row>
    <row r="3651" spans="1:6" x14ac:dyDescent="0.25">
      <c r="A3651" s="8">
        <v>80141607</v>
      </c>
      <c r="B3651" s="9" t="str">
        <f ca="1">IFERROR(INDEX(UNSPSCDes,MATCH(INDIRECT(ADDRESS(ROW(),COLUMN()-1,4)),UNSPSCCode,0)),"")</f>
        <v>Gestión de eventos</v>
      </c>
      <c r="C3651" s="33" t="s">
        <v>55</v>
      </c>
      <c r="D3651" s="8">
        <v>1</v>
      </c>
      <c r="E3651" s="11">
        <v>800000</v>
      </c>
      <c r="F3651" s="10">
        <f ca="1">INDIRECT(ADDRESS(ROW(),COLUMN()-2,4))*INDIRECT(ADDRESS(ROW(),COLUMN()-1,4))</f>
        <v>800000</v>
      </c>
    </row>
    <row r="3652" spans="1:6" x14ac:dyDescent="0.25">
      <c r="A3652" s="40"/>
      <c r="B3652" s="40"/>
      <c r="C3652" s="40"/>
      <c r="D3652" s="40"/>
      <c r="E3652" s="13" t="s">
        <v>87</v>
      </c>
      <c r="F3652" s="14">
        <f ca="1">SUM(Table3141[MONTO TOTAL ESTIMADO])</f>
        <v>1750000</v>
      </c>
    </row>
    <row r="3653" spans="1:6" ht="15.75" thickBot="1" x14ac:dyDescent="0.3">
      <c r="A3653" s="42"/>
      <c r="B3653" s="42"/>
      <c r="C3653" s="42"/>
      <c r="D3653" s="42"/>
      <c r="E3653" s="42"/>
      <c r="F3653" s="42"/>
    </row>
    <row r="3654" spans="1:6" ht="23.25" thickBot="1" x14ac:dyDescent="0.3">
      <c r="A3654" s="4" t="s">
        <v>19</v>
      </c>
      <c r="B3654" s="4" t="s">
        <v>20</v>
      </c>
      <c r="C3654" s="4" t="s">
        <v>21</v>
      </c>
      <c r="D3654" s="4" t="s">
        <v>22</v>
      </c>
      <c r="E3654" s="4" t="s">
        <v>23</v>
      </c>
      <c r="F3654" s="4" t="s">
        <v>24</v>
      </c>
    </row>
    <row r="3655" spans="1:6" ht="15.75" thickBot="1" x14ac:dyDescent="0.3">
      <c r="A3655" s="32" t="s">
        <v>507</v>
      </c>
      <c r="B3655" s="32" t="s">
        <v>508</v>
      </c>
      <c r="C3655" s="32" t="s">
        <v>129</v>
      </c>
      <c r="D3655" s="6" t="s">
        <v>28</v>
      </c>
      <c r="E3655" s="6" t="s">
        <v>262</v>
      </c>
      <c r="F3655" s="6"/>
    </row>
    <row r="3656" spans="1:6" ht="15.75" thickBot="1" x14ac:dyDescent="0.3">
      <c r="A3656" s="35" t="s">
        <v>31</v>
      </c>
      <c r="B3656" s="7" t="s">
        <v>32</v>
      </c>
      <c r="C3656" s="15">
        <v>45383</v>
      </c>
      <c r="D3656" s="35" t="s">
        <v>33</v>
      </c>
      <c r="E3656" s="7" t="s">
        <v>34</v>
      </c>
      <c r="F3656" s="6"/>
    </row>
    <row r="3657" spans="1:6" ht="15.75" thickBot="1" x14ac:dyDescent="0.3">
      <c r="A3657" s="36"/>
      <c r="B3657" s="7" t="s">
        <v>36</v>
      </c>
      <c r="C3657" s="5">
        <f>IF(C3656="","",IF(AND(MONTH(C3656)&gt;=1,MONTH(C3656)&lt;=3),1,IF(AND(MONTH(C3656)&gt;=4,MONTH(C3656)&lt;=6),2,IF(AND(MONTH(C3656)&gt;=7,MONTH(C3656)&lt;=9),3,4))))</f>
        <v>2</v>
      </c>
      <c r="D3657" s="36"/>
      <c r="E3657" s="7" t="s">
        <v>37</v>
      </c>
      <c r="F3657" s="6"/>
    </row>
    <row r="3658" spans="1:6" ht="15.75" thickBot="1" x14ac:dyDescent="0.3">
      <c r="A3658" s="36"/>
      <c r="B3658" s="7" t="s">
        <v>39</v>
      </c>
      <c r="C3658" s="15">
        <v>45473</v>
      </c>
      <c r="D3658" s="36"/>
      <c r="E3658" s="7" t="s">
        <v>40</v>
      </c>
      <c r="F3658" s="6"/>
    </row>
    <row r="3659" spans="1:6" ht="15.75" thickBot="1" x14ac:dyDescent="0.3">
      <c r="A3659" s="36"/>
      <c r="B3659" s="7" t="s">
        <v>36</v>
      </c>
      <c r="C3659" s="5">
        <f>IF(C3658="","",IF(AND(MONTH(C3658)&gt;=1,MONTH(C3658)&lt;=3),1,IF(AND(MONTH(C3658)&gt;=4,MONTH(C3658)&lt;=6),2,IF(AND(MONTH(C3658)&gt;=7,MONTH(C3658)&lt;=9),3,4))))</f>
        <v>2</v>
      </c>
      <c r="D3659" s="36"/>
      <c r="E3659" s="7" t="s">
        <v>41</v>
      </c>
      <c r="F3659" s="6"/>
    </row>
    <row r="3660" spans="1:6" ht="15.75" thickBot="1" x14ac:dyDescent="0.3">
      <c r="A3660" s="40"/>
      <c r="B3660" s="40"/>
      <c r="C3660" s="40"/>
      <c r="D3660" s="40"/>
      <c r="E3660" s="40"/>
      <c r="F3660" s="40"/>
    </row>
    <row r="3661" spans="1:6" ht="15.75" thickBot="1" x14ac:dyDescent="0.3">
      <c r="A3661" s="12" t="s">
        <v>42</v>
      </c>
      <c r="B3661" s="12" t="s">
        <v>43</v>
      </c>
      <c r="C3661" s="12" t="s">
        <v>44</v>
      </c>
      <c r="D3661" s="12" t="s">
        <v>45</v>
      </c>
      <c r="E3661" s="12" t="s">
        <v>46</v>
      </c>
      <c r="F3661" s="12" t="s">
        <v>47</v>
      </c>
    </row>
    <row r="3662" spans="1:6" x14ac:dyDescent="0.25">
      <c r="A3662" s="8">
        <v>80131502</v>
      </c>
      <c r="B3662" s="9" t="str">
        <f ca="1">IFERROR(INDEX(UNSPSCDes,MATCH(INDIRECT(ADDRESS(ROW(),COLUMN()-1,4)),UNSPSCCode,0)),"")</f>
        <v>Arrendamiento de instalaciones comerciales o industriales</v>
      </c>
      <c r="C3662" s="33" t="s">
        <v>55</v>
      </c>
      <c r="D3662" s="8">
        <v>1</v>
      </c>
      <c r="E3662" s="11">
        <v>1750000</v>
      </c>
      <c r="F3662" s="10">
        <f ca="1">INDIRECT(ADDRESS(ROW(),COLUMN()-2,4))*INDIRECT(ADDRESS(ROW(),COLUMN()-1,4))</f>
        <v>1750000</v>
      </c>
    </row>
    <row r="3663" spans="1:6" x14ac:dyDescent="0.25">
      <c r="A3663" s="40"/>
      <c r="B3663" s="40"/>
      <c r="C3663" s="40"/>
      <c r="D3663" s="40"/>
      <c r="E3663" s="13" t="s">
        <v>87</v>
      </c>
      <c r="F3663" s="14">
        <f ca="1">SUM(Table3142[MONTO TOTAL ESTIMADO])</f>
        <v>1750000</v>
      </c>
    </row>
    <row r="3664" spans="1:6" ht="15.75" thickBot="1" x14ac:dyDescent="0.3">
      <c r="A3664" s="42"/>
      <c r="B3664" s="42"/>
      <c r="C3664" s="42"/>
      <c r="D3664" s="42"/>
      <c r="E3664" s="42"/>
      <c r="F3664" s="42"/>
    </row>
    <row r="3665" spans="1:6" ht="23.25" thickBot="1" x14ac:dyDescent="0.3">
      <c r="A3665" s="4" t="s">
        <v>19</v>
      </c>
      <c r="B3665" s="4" t="s">
        <v>20</v>
      </c>
      <c r="C3665" s="4" t="s">
        <v>21</v>
      </c>
      <c r="D3665" s="4" t="s">
        <v>22</v>
      </c>
      <c r="E3665" s="4" t="s">
        <v>23</v>
      </c>
      <c r="F3665" s="4" t="s">
        <v>24</v>
      </c>
    </row>
    <row r="3666" spans="1:6" ht="15.75" thickBot="1" x14ac:dyDescent="0.3">
      <c r="A3666" s="32" t="s">
        <v>501</v>
      </c>
      <c r="B3666" s="32" t="s">
        <v>490</v>
      </c>
      <c r="C3666" s="32" t="s">
        <v>27</v>
      </c>
      <c r="D3666" s="6" t="s">
        <v>28</v>
      </c>
      <c r="E3666" s="6" t="s">
        <v>262</v>
      </c>
      <c r="F3666" s="6"/>
    </row>
    <row r="3667" spans="1:6" ht="15.75" thickBot="1" x14ac:dyDescent="0.3">
      <c r="A3667" s="35" t="s">
        <v>31</v>
      </c>
      <c r="B3667" s="7" t="s">
        <v>32</v>
      </c>
      <c r="C3667" s="15">
        <v>45383</v>
      </c>
      <c r="D3667" s="35" t="s">
        <v>33</v>
      </c>
      <c r="E3667" s="7" t="s">
        <v>34</v>
      </c>
      <c r="F3667" s="6"/>
    </row>
    <row r="3668" spans="1:6" ht="15.75" thickBot="1" x14ac:dyDescent="0.3">
      <c r="A3668" s="36"/>
      <c r="B3668" s="7" t="s">
        <v>36</v>
      </c>
      <c r="C3668" s="5">
        <f>IF(C3667="","",IF(AND(MONTH(C3667)&gt;=1,MONTH(C3667)&lt;=3),1,IF(AND(MONTH(C3667)&gt;=4,MONTH(C3667)&lt;=6),2,IF(AND(MONTH(C3667)&gt;=7,MONTH(C3667)&lt;=9),3,4))))</f>
        <v>2</v>
      </c>
      <c r="D3668" s="36"/>
      <c r="E3668" s="7" t="s">
        <v>37</v>
      </c>
      <c r="F3668" s="6"/>
    </row>
    <row r="3669" spans="1:6" ht="15.75" thickBot="1" x14ac:dyDescent="0.3">
      <c r="A3669" s="36"/>
      <c r="B3669" s="7" t="s">
        <v>39</v>
      </c>
      <c r="C3669" s="15">
        <v>45473</v>
      </c>
      <c r="D3669" s="36"/>
      <c r="E3669" s="7" t="s">
        <v>40</v>
      </c>
      <c r="F3669" s="6"/>
    </row>
    <row r="3670" spans="1:6" ht="15.75" thickBot="1" x14ac:dyDescent="0.3">
      <c r="A3670" s="36"/>
      <c r="B3670" s="7" t="s">
        <v>36</v>
      </c>
      <c r="C3670" s="5">
        <f>IF(C3669="","",IF(AND(MONTH(C3669)&gt;=1,MONTH(C3669)&lt;=3),1,IF(AND(MONTH(C3669)&gt;=4,MONTH(C3669)&lt;=6),2,IF(AND(MONTH(C3669)&gt;=7,MONTH(C3669)&lt;=9),3,4))))</f>
        <v>2</v>
      </c>
      <c r="D3670" s="36"/>
      <c r="E3670" s="7" t="s">
        <v>41</v>
      </c>
      <c r="F3670" s="6"/>
    </row>
    <row r="3671" spans="1:6" ht="15.75" thickBot="1" x14ac:dyDescent="0.3">
      <c r="A3671" s="40"/>
      <c r="B3671" s="40"/>
      <c r="C3671" s="40"/>
      <c r="D3671" s="40"/>
      <c r="E3671" s="40"/>
      <c r="F3671" s="40"/>
    </row>
    <row r="3672" spans="1:6" ht="15.75" thickBot="1" x14ac:dyDescent="0.3">
      <c r="A3672" s="12" t="s">
        <v>42</v>
      </c>
      <c r="B3672" s="12" t="s">
        <v>43</v>
      </c>
      <c r="C3672" s="12" t="s">
        <v>44</v>
      </c>
      <c r="D3672" s="12" t="s">
        <v>45</v>
      </c>
      <c r="E3672" s="12" t="s">
        <v>46</v>
      </c>
      <c r="F3672" s="12" t="s">
        <v>47</v>
      </c>
    </row>
    <row r="3673" spans="1:6" x14ac:dyDescent="0.25">
      <c r="A3673" s="8">
        <v>14111514</v>
      </c>
      <c r="B3673" s="9" t="str">
        <f t="shared" ref="B3673:B3683" ca="1" si="43">IFERROR(INDEX(UNSPSCDes,MATCH(INDIRECT(ADDRESS(ROW(),COLUMN()-1,4)),UNSPSCCode,0)),"")</f>
        <v>Blocs o cuadernos de papel</v>
      </c>
      <c r="C3673" s="33" t="s">
        <v>55</v>
      </c>
      <c r="D3673" s="8">
        <v>2400</v>
      </c>
      <c r="E3673" s="11">
        <v>92.04</v>
      </c>
      <c r="F3673" s="10">
        <f t="shared" ref="F3673:F3683" ca="1" si="44">INDIRECT(ADDRESS(ROW(),COLUMN()-2,4))*INDIRECT(ADDRESS(ROW(),COLUMN()-1,4))</f>
        <v>220896.00000000003</v>
      </c>
    </row>
    <row r="3674" spans="1:6" x14ac:dyDescent="0.25">
      <c r="A3674" s="8">
        <v>44121706</v>
      </c>
      <c r="B3674" s="9" t="str">
        <f t="shared" ca="1" si="43"/>
        <v>Lápices de madera</v>
      </c>
      <c r="C3674" s="33" t="s">
        <v>49</v>
      </c>
      <c r="D3674" s="8">
        <v>100</v>
      </c>
      <c r="E3674" s="11">
        <v>88.6</v>
      </c>
      <c r="F3674" s="10">
        <f t="shared" ca="1" si="44"/>
        <v>8860</v>
      </c>
    </row>
    <row r="3675" spans="1:6" x14ac:dyDescent="0.25">
      <c r="A3675" s="8">
        <v>44121701</v>
      </c>
      <c r="B3675" s="9" t="str">
        <f t="shared" ca="1" si="43"/>
        <v>Bolígrafos</v>
      </c>
      <c r="C3675" s="33" t="s">
        <v>49</v>
      </c>
      <c r="D3675" s="8">
        <v>100</v>
      </c>
      <c r="E3675" s="11">
        <v>109.84</v>
      </c>
      <c r="F3675" s="10">
        <f t="shared" ca="1" si="44"/>
        <v>10984</v>
      </c>
    </row>
    <row r="3676" spans="1:6" x14ac:dyDescent="0.25">
      <c r="A3676" s="8">
        <v>53121603</v>
      </c>
      <c r="B3676" s="9" t="str">
        <f t="shared" ca="1" si="43"/>
        <v>Morrales</v>
      </c>
      <c r="C3676" s="33" t="s">
        <v>55</v>
      </c>
      <c r="D3676" s="8">
        <v>600</v>
      </c>
      <c r="E3676" s="11">
        <v>973.5</v>
      </c>
      <c r="F3676" s="10">
        <f t="shared" ca="1" si="44"/>
        <v>584100</v>
      </c>
    </row>
    <row r="3677" spans="1:6" x14ac:dyDescent="0.25">
      <c r="A3677" s="8">
        <v>44121804</v>
      </c>
      <c r="B3677" s="9" t="str">
        <f t="shared" ca="1" si="43"/>
        <v>Borradores</v>
      </c>
      <c r="C3677" s="33" t="s">
        <v>55</v>
      </c>
      <c r="D3677" s="8">
        <v>600</v>
      </c>
      <c r="E3677" s="11">
        <v>51.92</v>
      </c>
      <c r="F3677" s="10">
        <f t="shared" ca="1" si="44"/>
        <v>31152</v>
      </c>
    </row>
    <row r="3678" spans="1:6" x14ac:dyDescent="0.25">
      <c r="A3678" s="8">
        <v>44121619</v>
      </c>
      <c r="B3678" s="9" t="str">
        <f t="shared" ca="1" si="43"/>
        <v>Tajalápices manuales</v>
      </c>
      <c r="C3678" s="33" t="s">
        <v>55</v>
      </c>
      <c r="D3678" s="8">
        <v>600</v>
      </c>
      <c r="E3678" s="11">
        <v>23.6</v>
      </c>
      <c r="F3678" s="10">
        <f t="shared" ca="1" si="44"/>
        <v>14160</v>
      </c>
    </row>
    <row r="3679" spans="1:6" x14ac:dyDescent="0.25">
      <c r="A3679" s="8">
        <v>44111509</v>
      </c>
      <c r="B3679" s="9" t="str">
        <f t="shared" ca="1" si="43"/>
        <v>Sujetadores de esferos o lápices</v>
      </c>
      <c r="C3679" s="33" t="s">
        <v>55</v>
      </c>
      <c r="D3679" s="8">
        <v>600</v>
      </c>
      <c r="E3679" s="11">
        <v>135.69999999999999</v>
      </c>
      <c r="F3679" s="10">
        <f t="shared" ca="1" si="44"/>
        <v>81420</v>
      </c>
    </row>
    <row r="3680" spans="1:6" x14ac:dyDescent="0.25">
      <c r="A3680" s="8">
        <v>52152002</v>
      </c>
      <c r="B3680" s="9" t="str">
        <f t="shared" ca="1" si="43"/>
        <v>Contenedores para almacenar alimentos para uso doméstico</v>
      </c>
      <c r="C3680" s="33" t="s">
        <v>55</v>
      </c>
      <c r="D3680" s="8">
        <v>600</v>
      </c>
      <c r="E3680" s="11">
        <v>722.75</v>
      </c>
      <c r="F3680" s="10">
        <f t="shared" ca="1" si="44"/>
        <v>433650</v>
      </c>
    </row>
    <row r="3681" spans="1:6" x14ac:dyDescent="0.25">
      <c r="A3681" s="8">
        <v>44111803</v>
      </c>
      <c r="B3681" s="9" t="str">
        <f t="shared" ca="1" si="43"/>
        <v>Compases</v>
      </c>
      <c r="C3681" s="33" t="s">
        <v>55</v>
      </c>
      <c r="D3681" s="8">
        <v>600</v>
      </c>
      <c r="E3681" s="11">
        <v>45.78</v>
      </c>
      <c r="F3681" s="10">
        <f t="shared" ca="1" si="44"/>
        <v>27468</v>
      </c>
    </row>
    <row r="3682" spans="1:6" x14ac:dyDescent="0.25">
      <c r="A3682" s="8">
        <v>44111812</v>
      </c>
      <c r="B3682" s="9" t="str">
        <f t="shared" ca="1" si="43"/>
        <v>Kits o sets de dibujo</v>
      </c>
      <c r="C3682" s="33" t="s">
        <v>55</v>
      </c>
      <c r="D3682" s="8">
        <v>600</v>
      </c>
      <c r="E3682" s="11">
        <v>37.909999999999997</v>
      </c>
      <c r="F3682" s="10">
        <f t="shared" ca="1" si="44"/>
        <v>22745.999999999996</v>
      </c>
    </row>
    <row r="3683" spans="1:6" x14ac:dyDescent="0.25">
      <c r="A3683" s="8">
        <v>44121707</v>
      </c>
      <c r="B3683" s="9" t="str">
        <f t="shared" ca="1" si="43"/>
        <v>Lápices de colores</v>
      </c>
      <c r="C3683" s="33" t="s">
        <v>49</v>
      </c>
      <c r="D3683" s="8">
        <v>600</v>
      </c>
      <c r="E3683" s="11">
        <v>107.43</v>
      </c>
      <c r="F3683" s="10">
        <f t="shared" ca="1" si="44"/>
        <v>64458.000000000007</v>
      </c>
    </row>
    <row r="3684" spans="1:6" x14ac:dyDescent="0.25">
      <c r="A3684" s="40"/>
      <c r="B3684" s="40"/>
      <c r="C3684" s="40"/>
      <c r="D3684" s="40"/>
      <c r="E3684" s="13" t="s">
        <v>87</v>
      </c>
      <c r="F3684" s="14">
        <f ca="1">SUM(Table3143[MONTO TOTAL ESTIMADO])</f>
        <v>1499894</v>
      </c>
    </row>
    <row r="3685" spans="1:6" ht="15.75" thickBot="1" x14ac:dyDescent="0.3">
      <c r="A3685" s="42"/>
      <c r="B3685" s="42"/>
      <c r="C3685" s="42"/>
      <c r="D3685" s="42"/>
      <c r="E3685" s="42"/>
      <c r="F3685" s="42"/>
    </row>
    <row r="3686" spans="1:6" ht="23.25" thickBot="1" x14ac:dyDescent="0.3">
      <c r="A3686" s="4" t="s">
        <v>19</v>
      </c>
      <c r="B3686" s="4" t="s">
        <v>20</v>
      </c>
      <c r="C3686" s="4" t="s">
        <v>21</v>
      </c>
      <c r="D3686" s="4" t="s">
        <v>22</v>
      </c>
      <c r="E3686" s="4" t="s">
        <v>23</v>
      </c>
      <c r="F3686" s="4" t="s">
        <v>24</v>
      </c>
    </row>
    <row r="3687" spans="1:6" ht="15.75" thickBot="1" x14ac:dyDescent="0.3">
      <c r="A3687" s="32" t="s">
        <v>510</v>
      </c>
      <c r="B3687" s="32" t="s">
        <v>511</v>
      </c>
      <c r="C3687" s="32" t="s">
        <v>27</v>
      </c>
      <c r="D3687" s="6" t="s">
        <v>28</v>
      </c>
      <c r="E3687" s="6" t="s">
        <v>262</v>
      </c>
      <c r="F3687" s="6"/>
    </row>
    <row r="3688" spans="1:6" ht="15.75" thickBot="1" x14ac:dyDescent="0.3">
      <c r="A3688" s="35" t="s">
        <v>31</v>
      </c>
      <c r="B3688" s="7" t="s">
        <v>32</v>
      </c>
      <c r="C3688" s="15">
        <v>45383</v>
      </c>
      <c r="D3688" s="35" t="s">
        <v>33</v>
      </c>
      <c r="E3688" s="7" t="s">
        <v>34</v>
      </c>
      <c r="F3688" s="6"/>
    </row>
    <row r="3689" spans="1:6" ht="15.75" thickBot="1" x14ac:dyDescent="0.3">
      <c r="A3689" s="36"/>
      <c r="B3689" s="7" t="s">
        <v>36</v>
      </c>
      <c r="C3689" s="5">
        <f>IF(C3688="","",IF(AND(MONTH(C3688)&gt;=1,MONTH(C3688)&lt;=3),1,IF(AND(MONTH(C3688)&gt;=4,MONTH(C3688)&lt;=6),2,IF(AND(MONTH(C3688)&gt;=7,MONTH(C3688)&lt;=9),3,4))))</f>
        <v>2</v>
      </c>
      <c r="D3689" s="36"/>
      <c r="E3689" s="7" t="s">
        <v>37</v>
      </c>
      <c r="F3689" s="6"/>
    </row>
    <row r="3690" spans="1:6" ht="15.75" thickBot="1" x14ac:dyDescent="0.3">
      <c r="A3690" s="36"/>
      <c r="B3690" s="7" t="s">
        <v>39</v>
      </c>
      <c r="C3690" s="15">
        <v>45473</v>
      </c>
      <c r="D3690" s="36"/>
      <c r="E3690" s="7" t="s">
        <v>40</v>
      </c>
      <c r="F3690" s="6"/>
    </row>
    <row r="3691" spans="1:6" ht="15.75" thickBot="1" x14ac:dyDescent="0.3">
      <c r="A3691" s="36"/>
      <c r="B3691" s="7" t="s">
        <v>36</v>
      </c>
      <c r="C3691" s="5">
        <f>IF(C3690="","",IF(AND(MONTH(C3690)&gt;=1,MONTH(C3690)&lt;=3),1,IF(AND(MONTH(C3690)&gt;=4,MONTH(C3690)&lt;=6),2,IF(AND(MONTH(C3690)&gt;=7,MONTH(C3690)&lt;=9),3,4))))</f>
        <v>2</v>
      </c>
      <c r="D3691" s="36"/>
      <c r="E3691" s="7" t="s">
        <v>41</v>
      </c>
      <c r="F3691" s="6"/>
    </row>
    <row r="3692" spans="1:6" ht="15.75" thickBot="1" x14ac:dyDescent="0.3">
      <c r="A3692" s="40"/>
      <c r="B3692" s="40"/>
      <c r="C3692" s="40"/>
      <c r="D3692" s="40"/>
      <c r="E3692" s="40"/>
      <c r="F3692" s="40"/>
    </row>
    <row r="3693" spans="1:6" ht="15.75" thickBot="1" x14ac:dyDescent="0.3">
      <c r="A3693" s="12" t="s">
        <v>42</v>
      </c>
      <c r="B3693" s="12" t="s">
        <v>43</v>
      </c>
      <c r="C3693" s="12" t="s">
        <v>44</v>
      </c>
      <c r="D3693" s="12" t="s">
        <v>45</v>
      </c>
      <c r="E3693" s="12" t="s">
        <v>46</v>
      </c>
      <c r="F3693" s="12" t="s">
        <v>47</v>
      </c>
    </row>
    <row r="3694" spans="1:6" x14ac:dyDescent="0.25">
      <c r="A3694" s="8">
        <v>49161608</v>
      </c>
      <c r="B3694" s="9" t="str">
        <f t="shared" ref="B3694:B3711" ca="1" si="45">IFERROR(INDEX(UNSPSCDes,MATCH(INDIRECT(ADDRESS(ROW(),COLUMN()-1,4)),UNSPSCCode,0)),"")</f>
        <v>Balones de voleibol</v>
      </c>
      <c r="C3694" s="33" t="s">
        <v>55</v>
      </c>
      <c r="D3694" s="8">
        <v>100</v>
      </c>
      <c r="E3694" s="11">
        <v>1593</v>
      </c>
      <c r="F3694" s="10">
        <f t="shared" ref="F3694:F3711" ca="1" si="46">INDIRECT(ADDRESS(ROW(),COLUMN()-2,4))*INDIRECT(ADDRESS(ROW(),COLUMN()-1,4))</f>
        <v>159300</v>
      </c>
    </row>
    <row r="3695" spans="1:6" x14ac:dyDescent="0.25">
      <c r="A3695" s="8">
        <v>49161603</v>
      </c>
      <c r="B3695" s="9" t="str">
        <f t="shared" ca="1" si="45"/>
        <v>Pelotas de básquetbol</v>
      </c>
      <c r="C3695" s="33" t="s">
        <v>55</v>
      </c>
      <c r="D3695" s="8">
        <v>30</v>
      </c>
      <c r="E3695" s="11">
        <v>1640</v>
      </c>
      <c r="F3695" s="10">
        <f t="shared" ca="1" si="46"/>
        <v>49200</v>
      </c>
    </row>
    <row r="3696" spans="1:6" x14ac:dyDescent="0.25">
      <c r="A3696" s="8">
        <v>49161603</v>
      </c>
      <c r="B3696" s="9" t="str">
        <f t="shared" ca="1" si="45"/>
        <v>Pelotas de básquetbol</v>
      </c>
      <c r="C3696" s="33" t="s">
        <v>55</v>
      </c>
      <c r="D3696" s="8">
        <v>100</v>
      </c>
      <c r="E3696" s="11">
        <v>1593</v>
      </c>
      <c r="F3696" s="10">
        <f t="shared" ca="1" si="46"/>
        <v>159300</v>
      </c>
    </row>
    <row r="3697" spans="1:6" x14ac:dyDescent="0.25">
      <c r="A3697" s="8">
        <v>49161503</v>
      </c>
      <c r="B3697" s="9" t="str">
        <f t="shared" ca="1" si="45"/>
        <v>Pelotas de beisbol</v>
      </c>
      <c r="C3697" s="33" t="s">
        <v>55</v>
      </c>
      <c r="D3697" s="8">
        <v>100</v>
      </c>
      <c r="E3697" s="11">
        <v>425</v>
      </c>
      <c r="F3697" s="10">
        <f t="shared" ca="1" si="46"/>
        <v>42500</v>
      </c>
    </row>
    <row r="3698" spans="1:6" x14ac:dyDescent="0.25">
      <c r="A3698" s="8">
        <v>49161509</v>
      </c>
      <c r="B3698" s="9" t="str">
        <f t="shared" ca="1" si="45"/>
        <v>Balones de softbol</v>
      </c>
      <c r="C3698" s="33" t="s">
        <v>55</v>
      </c>
      <c r="D3698" s="8">
        <v>100</v>
      </c>
      <c r="E3698" s="11">
        <v>477.9</v>
      </c>
      <c r="F3698" s="10">
        <f t="shared" ca="1" si="46"/>
        <v>47790</v>
      </c>
    </row>
    <row r="3699" spans="1:6" x14ac:dyDescent="0.25">
      <c r="A3699" s="8">
        <v>49161504</v>
      </c>
      <c r="B3699" s="9" t="str">
        <f t="shared" ca="1" si="45"/>
        <v>Balones de futbol</v>
      </c>
      <c r="C3699" s="33" t="s">
        <v>55</v>
      </c>
      <c r="D3699" s="8">
        <v>50</v>
      </c>
      <c r="E3699" s="11">
        <v>1593</v>
      </c>
      <c r="F3699" s="10">
        <f t="shared" ca="1" si="46"/>
        <v>79650</v>
      </c>
    </row>
    <row r="3700" spans="1:6" x14ac:dyDescent="0.25">
      <c r="A3700" s="8">
        <v>49161504</v>
      </c>
      <c r="B3700" s="9" t="str">
        <f t="shared" ca="1" si="45"/>
        <v>Balones de futbol</v>
      </c>
      <c r="C3700" s="33" t="s">
        <v>55</v>
      </c>
      <c r="D3700" s="8">
        <v>60</v>
      </c>
      <c r="E3700" s="11">
        <v>1593</v>
      </c>
      <c r="F3700" s="10">
        <f t="shared" ca="1" si="46"/>
        <v>95580</v>
      </c>
    </row>
    <row r="3701" spans="1:6" x14ac:dyDescent="0.25">
      <c r="A3701" s="8">
        <v>49221502</v>
      </c>
      <c r="B3701" s="9" t="str">
        <f t="shared" ca="1" si="45"/>
        <v>Porterías</v>
      </c>
      <c r="C3701" s="33" t="s">
        <v>55</v>
      </c>
      <c r="D3701" s="8">
        <v>30</v>
      </c>
      <c r="E3701" s="11">
        <v>1416</v>
      </c>
      <c r="F3701" s="10">
        <f t="shared" ca="1" si="46"/>
        <v>42480</v>
      </c>
    </row>
    <row r="3702" spans="1:6" x14ac:dyDescent="0.25">
      <c r="A3702" s="8">
        <v>49181509</v>
      </c>
      <c r="B3702" s="9" t="str">
        <f t="shared" ca="1" si="45"/>
        <v>Bolas de ping pong</v>
      </c>
      <c r="C3702" s="33" t="s">
        <v>55</v>
      </c>
      <c r="D3702" s="8">
        <v>100</v>
      </c>
      <c r="E3702" s="11">
        <v>94.4</v>
      </c>
      <c r="F3702" s="10">
        <f t="shared" ca="1" si="46"/>
        <v>9440</v>
      </c>
    </row>
    <row r="3703" spans="1:6" x14ac:dyDescent="0.25">
      <c r="A3703" s="8">
        <v>49161603</v>
      </c>
      <c r="B3703" s="9" t="str">
        <f t="shared" ca="1" si="45"/>
        <v>Pelotas de básquetbol</v>
      </c>
      <c r="C3703" s="33" t="s">
        <v>55</v>
      </c>
      <c r="D3703" s="8">
        <v>50</v>
      </c>
      <c r="E3703" s="11">
        <v>2950</v>
      </c>
      <c r="F3703" s="10">
        <f t="shared" ca="1" si="46"/>
        <v>147500</v>
      </c>
    </row>
    <row r="3704" spans="1:6" x14ac:dyDescent="0.25">
      <c r="A3704" s="8">
        <v>49161603</v>
      </c>
      <c r="B3704" s="9" t="str">
        <f t="shared" ca="1" si="45"/>
        <v>Pelotas de básquetbol</v>
      </c>
      <c r="C3704" s="33" t="s">
        <v>55</v>
      </c>
      <c r="D3704" s="8">
        <v>25</v>
      </c>
      <c r="E3704" s="11">
        <v>3304</v>
      </c>
      <c r="F3704" s="10">
        <f t="shared" ca="1" si="46"/>
        <v>82600</v>
      </c>
    </row>
    <row r="3705" spans="1:6" x14ac:dyDescent="0.25">
      <c r="A3705" s="8">
        <v>49161503</v>
      </c>
      <c r="B3705" s="9" t="str">
        <f t="shared" ca="1" si="45"/>
        <v>Pelotas de beisbol</v>
      </c>
      <c r="C3705" s="33" t="s">
        <v>55</v>
      </c>
      <c r="D3705" s="8">
        <v>25</v>
      </c>
      <c r="E3705" s="11">
        <v>295</v>
      </c>
      <c r="F3705" s="10">
        <f t="shared" ca="1" si="46"/>
        <v>7375</v>
      </c>
    </row>
    <row r="3706" spans="1:6" x14ac:dyDescent="0.25">
      <c r="A3706" s="8">
        <v>49221507</v>
      </c>
      <c r="B3706" s="9" t="str">
        <f t="shared" ca="1" si="45"/>
        <v>Tableros de basquetbol</v>
      </c>
      <c r="C3706" s="33" t="s">
        <v>55</v>
      </c>
      <c r="D3706" s="8">
        <v>10</v>
      </c>
      <c r="E3706" s="11">
        <v>41300</v>
      </c>
      <c r="F3706" s="10">
        <f t="shared" ca="1" si="46"/>
        <v>413000</v>
      </c>
    </row>
    <row r="3707" spans="1:6" x14ac:dyDescent="0.25">
      <c r="A3707" s="8">
        <v>49221505</v>
      </c>
      <c r="B3707" s="9" t="str">
        <f t="shared" ca="1" si="45"/>
        <v>Mallas o redes para deportes</v>
      </c>
      <c r="C3707" s="33" t="s">
        <v>55</v>
      </c>
      <c r="D3707" s="8">
        <v>25</v>
      </c>
      <c r="E3707" s="11">
        <v>241.9</v>
      </c>
      <c r="F3707" s="10">
        <f t="shared" ca="1" si="46"/>
        <v>6047.5</v>
      </c>
    </row>
    <row r="3708" spans="1:6" x14ac:dyDescent="0.25">
      <c r="A3708" s="8">
        <v>49161506</v>
      </c>
      <c r="B3708" s="9" t="str">
        <f t="shared" ca="1" si="45"/>
        <v>Bates de beisbol</v>
      </c>
      <c r="C3708" s="33" t="s">
        <v>55</v>
      </c>
      <c r="D3708" s="8">
        <v>25</v>
      </c>
      <c r="E3708" s="11">
        <v>5074</v>
      </c>
      <c r="F3708" s="10">
        <f t="shared" ca="1" si="46"/>
        <v>126850</v>
      </c>
    </row>
    <row r="3709" spans="1:6" x14ac:dyDescent="0.25">
      <c r="A3709" s="8">
        <v>49161520</v>
      </c>
      <c r="B3709" s="9" t="str">
        <f t="shared" ca="1" si="45"/>
        <v>Bates de softbol</v>
      </c>
      <c r="C3709" s="33" t="s">
        <v>55</v>
      </c>
      <c r="D3709" s="8">
        <v>10</v>
      </c>
      <c r="E3709" s="11">
        <v>4277.5</v>
      </c>
      <c r="F3709" s="10">
        <f t="shared" ca="1" si="46"/>
        <v>42775</v>
      </c>
    </row>
    <row r="3710" spans="1:6" x14ac:dyDescent="0.25">
      <c r="A3710" s="8">
        <v>49161608</v>
      </c>
      <c r="B3710" s="9" t="str">
        <f t="shared" ca="1" si="45"/>
        <v>Balones de voleibol</v>
      </c>
      <c r="C3710" s="33" t="s">
        <v>55</v>
      </c>
      <c r="D3710" s="8">
        <v>50</v>
      </c>
      <c r="E3710" s="11">
        <v>1800</v>
      </c>
      <c r="F3710" s="10">
        <f t="shared" ca="1" si="46"/>
        <v>90000</v>
      </c>
    </row>
    <row r="3711" spans="1:6" x14ac:dyDescent="0.25">
      <c r="A3711" s="8">
        <v>49161506</v>
      </c>
      <c r="B3711" s="9" t="str">
        <f t="shared" ca="1" si="45"/>
        <v>Bates de beisbol</v>
      </c>
      <c r="C3711" s="33" t="s">
        <v>55</v>
      </c>
      <c r="D3711" s="8">
        <v>15</v>
      </c>
      <c r="E3711" s="11">
        <v>4074</v>
      </c>
      <c r="F3711" s="10">
        <f t="shared" ca="1" si="46"/>
        <v>61110</v>
      </c>
    </row>
    <row r="3712" spans="1:6" x14ac:dyDescent="0.25">
      <c r="A3712" s="40"/>
      <c r="B3712" s="40"/>
      <c r="C3712" s="40"/>
      <c r="D3712" s="40"/>
      <c r="E3712" s="13" t="s">
        <v>87</v>
      </c>
      <c r="F3712" s="14">
        <f ca="1">SUM(Table3145[MONTO TOTAL ESTIMADO])</f>
        <v>1662497.5</v>
      </c>
    </row>
    <row r="3713" spans="1:6" ht="15.75" thickBot="1" x14ac:dyDescent="0.3">
      <c r="A3713" s="42"/>
      <c r="B3713" s="42"/>
      <c r="C3713" s="42"/>
      <c r="D3713" s="42"/>
      <c r="E3713" s="42"/>
      <c r="F3713" s="42"/>
    </row>
    <row r="3714" spans="1:6" ht="23.25" thickBot="1" x14ac:dyDescent="0.3">
      <c r="A3714" s="4" t="s">
        <v>19</v>
      </c>
      <c r="B3714" s="4" t="s">
        <v>20</v>
      </c>
      <c r="C3714" s="4" t="s">
        <v>21</v>
      </c>
      <c r="D3714" s="4" t="s">
        <v>22</v>
      </c>
      <c r="E3714" s="4" t="s">
        <v>23</v>
      </c>
      <c r="F3714" s="4" t="s">
        <v>24</v>
      </c>
    </row>
    <row r="3715" spans="1:6" ht="15.75" thickBot="1" x14ac:dyDescent="0.3">
      <c r="A3715" s="32" t="s">
        <v>523</v>
      </c>
      <c r="B3715" s="32" t="s">
        <v>524</v>
      </c>
      <c r="C3715" s="32" t="s">
        <v>27</v>
      </c>
      <c r="D3715" s="6" t="s">
        <v>28</v>
      </c>
      <c r="E3715" s="6" t="s">
        <v>262</v>
      </c>
      <c r="F3715" s="6"/>
    </row>
    <row r="3716" spans="1:6" ht="15.75" thickBot="1" x14ac:dyDescent="0.3">
      <c r="A3716" s="35" t="s">
        <v>31</v>
      </c>
      <c r="B3716" s="7" t="s">
        <v>32</v>
      </c>
      <c r="C3716" s="15">
        <v>45383</v>
      </c>
      <c r="D3716" s="35" t="s">
        <v>33</v>
      </c>
      <c r="E3716" s="7" t="s">
        <v>34</v>
      </c>
      <c r="F3716" s="6"/>
    </row>
    <row r="3717" spans="1:6" ht="15.75" thickBot="1" x14ac:dyDescent="0.3">
      <c r="A3717" s="36"/>
      <c r="B3717" s="7" t="s">
        <v>36</v>
      </c>
      <c r="C3717" s="5">
        <f>IF(C3716="","",IF(AND(MONTH(C3716)&gt;=1,MONTH(C3716)&lt;=3),1,IF(AND(MONTH(C3716)&gt;=4,MONTH(C3716)&lt;=6),2,IF(AND(MONTH(C3716)&gt;=7,MONTH(C3716)&lt;=9),3,4))))</f>
        <v>2</v>
      </c>
      <c r="D3717" s="36"/>
      <c r="E3717" s="7" t="s">
        <v>37</v>
      </c>
      <c r="F3717" s="6"/>
    </row>
    <row r="3718" spans="1:6" ht="15.75" thickBot="1" x14ac:dyDescent="0.3">
      <c r="A3718" s="36"/>
      <c r="B3718" s="7" t="s">
        <v>39</v>
      </c>
      <c r="C3718" s="15">
        <v>45473</v>
      </c>
      <c r="D3718" s="36"/>
      <c r="E3718" s="7" t="s">
        <v>40</v>
      </c>
      <c r="F3718" s="6"/>
    </row>
    <row r="3719" spans="1:6" ht="15.75" thickBot="1" x14ac:dyDescent="0.3">
      <c r="A3719" s="36"/>
      <c r="B3719" s="7" t="s">
        <v>36</v>
      </c>
      <c r="C3719" s="5">
        <f>IF(C3718="","",IF(AND(MONTH(C3718)&gt;=1,MONTH(C3718)&lt;=3),1,IF(AND(MONTH(C3718)&gt;=4,MONTH(C3718)&lt;=6),2,IF(AND(MONTH(C3718)&gt;=7,MONTH(C3718)&lt;=9),3,4))))</f>
        <v>2</v>
      </c>
      <c r="D3719" s="36"/>
      <c r="E3719" s="7" t="s">
        <v>41</v>
      </c>
      <c r="F3719" s="6"/>
    </row>
    <row r="3720" spans="1:6" ht="15.75" thickBot="1" x14ac:dyDescent="0.3">
      <c r="A3720" s="40"/>
      <c r="B3720" s="40"/>
      <c r="C3720" s="40"/>
      <c r="D3720" s="40"/>
      <c r="E3720" s="40"/>
      <c r="F3720" s="40"/>
    </row>
    <row r="3721" spans="1:6" ht="15.75" thickBot="1" x14ac:dyDescent="0.3">
      <c r="A3721" s="12" t="s">
        <v>42</v>
      </c>
      <c r="B3721" s="12" t="s">
        <v>43</v>
      </c>
      <c r="C3721" s="12" t="s">
        <v>44</v>
      </c>
      <c r="D3721" s="12" t="s">
        <v>45</v>
      </c>
      <c r="E3721" s="12" t="s">
        <v>46</v>
      </c>
      <c r="F3721" s="12" t="s">
        <v>47</v>
      </c>
    </row>
    <row r="3722" spans="1:6" x14ac:dyDescent="0.25">
      <c r="A3722" s="8">
        <v>43211507</v>
      </c>
      <c r="B3722" s="9" t="str">
        <f ca="1">IFERROR(INDEX(UNSPSCDes,MATCH(INDIRECT(ADDRESS(ROW(),COLUMN()-1,4)),UNSPSCCode,0)),"")</f>
        <v>Computadores de escritorio</v>
      </c>
      <c r="C3722" s="33" t="s">
        <v>55</v>
      </c>
      <c r="D3722" s="8">
        <v>10</v>
      </c>
      <c r="E3722" s="11">
        <v>80000</v>
      </c>
      <c r="F3722" s="10">
        <f ca="1">INDIRECT(ADDRESS(ROW(),COLUMN()-2,4))*INDIRECT(ADDRESS(ROW(),COLUMN()-1,4))</f>
        <v>800000</v>
      </c>
    </row>
    <row r="3723" spans="1:6" x14ac:dyDescent="0.25">
      <c r="A3723" s="8">
        <v>43212110</v>
      </c>
      <c r="B3723" s="9" t="str">
        <f ca="1">IFERROR(INDEX(UNSPSCDes,MATCH(INDIRECT(ADDRESS(ROW(),COLUMN()-1,4)),UNSPSCCode,0)),"")</f>
        <v>Impresoras de múltiples funciones</v>
      </c>
      <c r="C3723" s="33" t="s">
        <v>55</v>
      </c>
      <c r="D3723" s="8">
        <v>10</v>
      </c>
      <c r="E3723" s="11">
        <v>45000</v>
      </c>
      <c r="F3723" s="10">
        <f ca="1">INDIRECT(ADDRESS(ROW(),COLUMN()-2,4))*INDIRECT(ADDRESS(ROW(),COLUMN()-1,4))</f>
        <v>450000</v>
      </c>
    </row>
    <row r="3724" spans="1:6" x14ac:dyDescent="0.25">
      <c r="A3724" s="40"/>
      <c r="B3724" s="40"/>
      <c r="C3724" s="40"/>
      <c r="D3724" s="40"/>
      <c r="E3724" s="13" t="s">
        <v>87</v>
      </c>
      <c r="F3724" s="14">
        <f ca="1">SUM(Table3146[MONTO TOTAL ESTIMADO])</f>
        <v>1250000</v>
      </c>
    </row>
    <row r="3725" spans="1:6" ht="15.75" thickBot="1" x14ac:dyDescent="0.3">
      <c r="A3725" s="42"/>
      <c r="B3725" s="42"/>
      <c r="C3725" s="42"/>
      <c r="D3725" s="42"/>
      <c r="E3725" s="42"/>
      <c r="F3725" s="42"/>
    </row>
    <row r="3726" spans="1:6" ht="23.25" thickBot="1" x14ac:dyDescent="0.3">
      <c r="A3726" s="4" t="s">
        <v>19</v>
      </c>
      <c r="B3726" s="4" t="s">
        <v>20</v>
      </c>
      <c r="C3726" s="4" t="s">
        <v>21</v>
      </c>
      <c r="D3726" s="4" t="s">
        <v>22</v>
      </c>
      <c r="E3726" s="4" t="s">
        <v>23</v>
      </c>
      <c r="F3726" s="4" t="s">
        <v>24</v>
      </c>
    </row>
    <row r="3727" spans="1:6" ht="15.75" thickBot="1" x14ac:dyDescent="0.3">
      <c r="A3727" s="32" t="s">
        <v>510</v>
      </c>
      <c r="B3727" s="32" t="s">
        <v>511</v>
      </c>
      <c r="C3727" s="32" t="s">
        <v>27</v>
      </c>
      <c r="D3727" s="6" t="s">
        <v>28</v>
      </c>
      <c r="E3727" s="6" t="s">
        <v>262</v>
      </c>
      <c r="F3727" s="6"/>
    </row>
    <row r="3728" spans="1:6" ht="15.75" thickBot="1" x14ac:dyDescent="0.3">
      <c r="A3728" s="35" t="s">
        <v>31</v>
      </c>
      <c r="B3728" s="7" t="s">
        <v>32</v>
      </c>
      <c r="C3728" s="15">
        <v>45383</v>
      </c>
      <c r="D3728" s="35" t="s">
        <v>33</v>
      </c>
      <c r="E3728" s="7" t="s">
        <v>34</v>
      </c>
      <c r="F3728" s="6"/>
    </row>
    <row r="3729" spans="1:6" ht="15.75" thickBot="1" x14ac:dyDescent="0.3">
      <c r="A3729" s="36"/>
      <c r="B3729" s="7" t="s">
        <v>36</v>
      </c>
      <c r="C3729" s="5">
        <f>IF(C3728="","",IF(AND(MONTH(C3728)&gt;=1,MONTH(C3728)&lt;=3),1,IF(AND(MONTH(C3728)&gt;=4,MONTH(C3728)&lt;=6),2,IF(AND(MONTH(C3728)&gt;=7,MONTH(C3728)&lt;=9),3,4))))</f>
        <v>2</v>
      </c>
      <c r="D3729" s="36"/>
      <c r="E3729" s="7" t="s">
        <v>37</v>
      </c>
      <c r="F3729" s="6"/>
    </row>
    <row r="3730" spans="1:6" ht="15.75" thickBot="1" x14ac:dyDescent="0.3">
      <c r="A3730" s="36"/>
      <c r="B3730" s="7" t="s">
        <v>39</v>
      </c>
      <c r="C3730" s="15">
        <v>45473</v>
      </c>
      <c r="D3730" s="36"/>
      <c r="E3730" s="7" t="s">
        <v>40</v>
      </c>
      <c r="F3730" s="6"/>
    </row>
    <row r="3731" spans="1:6" ht="15.75" thickBot="1" x14ac:dyDescent="0.3">
      <c r="A3731" s="36"/>
      <c r="B3731" s="7" t="s">
        <v>36</v>
      </c>
      <c r="C3731" s="5">
        <f>IF(C3730="","",IF(AND(MONTH(C3730)&gt;=1,MONTH(C3730)&lt;=3),1,IF(AND(MONTH(C3730)&gt;=4,MONTH(C3730)&lt;=6),2,IF(AND(MONTH(C3730)&gt;=7,MONTH(C3730)&lt;=9),3,4))))</f>
        <v>2</v>
      </c>
      <c r="D3731" s="36"/>
      <c r="E3731" s="7" t="s">
        <v>41</v>
      </c>
      <c r="F3731" s="6"/>
    </row>
    <row r="3732" spans="1:6" ht="15.75" thickBot="1" x14ac:dyDescent="0.3">
      <c r="A3732" s="40"/>
      <c r="B3732" s="40"/>
      <c r="C3732" s="40"/>
      <c r="D3732" s="40"/>
      <c r="E3732" s="40"/>
      <c r="F3732" s="40"/>
    </row>
    <row r="3733" spans="1:6" ht="15.75" thickBot="1" x14ac:dyDescent="0.3">
      <c r="A3733" s="12" t="s">
        <v>42</v>
      </c>
      <c r="B3733" s="12" t="s">
        <v>43</v>
      </c>
      <c r="C3733" s="12" t="s">
        <v>44</v>
      </c>
      <c r="D3733" s="12" t="s">
        <v>45</v>
      </c>
      <c r="E3733" s="12" t="s">
        <v>46</v>
      </c>
      <c r="F3733" s="12" t="s">
        <v>47</v>
      </c>
    </row>
    <row r="3734" spans="1:6" x14ac:dyDescent="0.25">
      <c r="A3734" s="8">
        <v>49161608</v>
      </c>
      <c r="B3734" s="9" t="str">
        <f t="shared" ref="B3734:B3751" ca="1" si="47">IFERROR(INDEX(UNSPSCDes,MATCH(INDIRECT(ADDRESS(ROW(),COLUMN()-1,4)),UNSPSCCode,0)),"")</f>
        <v>Balones de voleibol</v>
      </c>
      <c r="C3734" s="33" t="s">
        <v>55</v>
      </c>
      <c r="D3734" s="8">
        <v>100</v>
      </c>
      <c r="E3734" s="11">
        <v>1593</v>
      </c>
      <c r="F3734" s="10">
        <f t="shared" ref="F3734:F3751" ca="1" si="48">INDIRECT(ADDRESS(ROW(),COLUMN()-2,4))*INDIRECT(ADDRESS(ROW(),COLUMN()-1,4))</f>
        <v>159300</v>
      </c>
    </row>
    <row r="3735" spans="1:6" x14ac:dyDescent="0.25">
      <c r="A3735" s="8">
        <v>49161603</v>
      </c>
      <c r="B3735" s="9" t="str">
        <f t="shared" ca="1" si="47"/>
        <v>Pelotas de básquetbol</v>
      </c>
      <c r="C3735" s="33" t="s">
        <v>55</v>
      </c>
      <c r="D3735" s="8">
        <v>30</v>
      </c>
      <c r="E3735" s="11">
        <v>1640</v>
      </c>
      <c r="F3735" s="10">
        <f t="shared" ca="1" si="48"/>
        <v>49200</v>
      </c>
    </row>
    <row r="3736" spans="1:6" x14ac:dyDescent="0.25">
      <c r="A3736" s="8">
        <v>49161603</v>
      </c>
      <c r="B3736" s="9" t="str">
        <f t="shared" ca="1" si="47"/>
        <v>Pelotas de básquetbol</v>
      </c>
      <c r="C3736" s="33" t="s">
        <v>55</v>
      </c>
      <c r="D3736" s="8">
        <v>100</v>
      </c>
      <c r="E3736" s="11">
        <v>1593</v>
      </c>
      <c r="F3736" s="10">
        <f t="shared" ca="1" si="48"/>
        <v>159300</v>
      </c>
    </row>
    <row r="3737" spans="1:6" x14ac:dyDescent="0.25">
      <c r="A3737" s="8">
        <v>49161503</v>
      </c>
      <c r="B3737" s="9" t="str">
        <f t="shared" ca="1" si="47"/>
        <v>Pelotas de beisbol</v>
      </c>
      <c r="C3737" s="33" t="s">
        <v>55</v>
      </c>
      <c r="D3737" s="8">
        <v>100</v>
      </c>
      <c r="E3737" s="11">
        <v>425</v>
      </c>
      <c r="F3737" s="10">
        <f t="shared" ca="1" si="48"/>
        <v>42500</v>
      </c>
    </row>
    <row r="3738" spans="1:6" x14ac:dyDescent="0.25">
      <c r="A3738" s="8">
        <v>49161509</v>
      </c>
      <c r="B3738" s="9" t="str">
        <f t="shared" ca="1" si="47"/>
        <v>Balones de softbol</v>
      </c>
      <c r="C3738" s="33" t="s">
        <v>55</v>
      </c>
      <c r="D3738" s="8">
        <v>100</v>
      </c>
      <c r="E3738" s="11">
        <v>477.9</v>
      </c>
      <c r="F3738" s="10">
        <f t="shared" ca="1" si="48"/>
        <v>47790</v>
      </c>
    </row>
    <row r="3739" spans="1:6" x14ac:dyDescent="0.25">
      <c r="A3739" s="8">
        <v>49161504</v>
      </c>
      <c r="B3739" s="9" t="str">
        <f t="shared" ca="1" si="47"/>
        <v>Balones de futbol</v>
      </c>
      <c r="C3739" s="33" t="s">
        <v>55</v>
      </c>
      <c r="D3739" s="8">
        <v>50</v>
      </c>
      <c r="E3739" s="11">
        <v>1593</v>
      </c>
      <c r="F3739" s="10">
        <f t="shared" ca="1" si="48"/>
        <v>79650</v>
      </c>
    </row>
    <row r="3740" spans="1:6" x14ac:dyDescent="0.25">
      <c r="A3740" s="8">
        <v>49161504</v>
      </c>
      <c r="B3740" s="9" t="str">
        <f t="shared" ca="1" si="47"/>
        <v>Balones de futbol</v>
      </c>
      <c r="C3740" s="33" t="s">
        <v>55</v>
      </c>
      <c r="D3740" s="8">
        <v>60</v>
      </c>
      <c r="E3740" s="11">
        <v>1593</v>
      </c>
      <c r="F3740" s="10">
        <f t="shared" ca="1" si="48"/>
        <v>95580</v>
      </c>
    </row>
    <row r="3741" spans="1:6" x14ac:dyDescent="0.25">
      <c r="A3741" s="8">
        <v>49221502</v>
      </c>
      <c r="B3741" s="9" t="str">
        <f t="shared" ca="1" si="47"/>
        <v>Porterías</v>
      </c>
      <c r="C3741" s="33" t="s">
        <v>55</v>
      </c>
      <c r="D3741" s="8">
        <v>30</v>
      </c>
      <c r="E3741" s="11">
        <v>1416</v>
      </c>
      <c r="F3741" s="10">
        <f t="shared" ca="1" si="48"/>
        <v>42480</v>
      </c>
    </row>
    <row r="3742" spans="1:6" x14ac:dyDescent="0.25">
      <c r="A3742" s="8">
        <v>49181509</v>
      </c>
      <c r="B3742" s="9" t="str">
        <f t="shared" ca="1" si="47"/>
        <v>Bolas de ping pong</v>
      </c>
      <c r="C3742" s="33" t="s">
        <v>55</v>
      </c>
      <c r="D3742" s="8">
        <v>100</v>
      </c>
      <c r="E3742" s="11">
        <v>94.4</v>
      </c>
      <c r="F3742" s="10">
        <f t="shared" ca="1" si="48"/>
        <v>9440</v>
      </c>
    </row>
    <row r="3743" spans="1:6" x14ac:dyDescent="0.25">
      <c r="A3743" s="8">
        <v>49161603</v>
      </c>
      <c r="B3743" s="9" t="str">
        <f t="shared" ca="1" si="47"/>
        <v>Pelotas de básquetbol</v>
      </c>
      <c r="C3743" s="33" t="s">
        <v>55</v>
      </c>
      <c r="D3743" s="8">
        <v>50</v>
      </c>
      <c r="E3743" s="11">
        <v>2950</v>
      </c>
      <c r="F3743" s="10">
        <f t="shared" ca="1" si="48"/>
        <v>147500</v>
      </c>
    </row>
    <row r="3744" spans="1:6" x14ac:dyDescent="0.25">
      <c r="A3744" s="8">
        <v>49161603</v>
      </c>
      <c r="B3744" s="9" t="str">
        <f t="shared" ca="1" si="47"/>
        <v>Pelotas de básquetbol</v>
      </c>
      <c r="C3744" s="33" t="s">
        <v>55</v>
      </c>
      <c r="D3744" s="8">
        <v>25</v>
      </c>
      <c r="E3744" s="11">
        <v>3304</v>
      </c>
      <c r="F3744" s="10">
        <f t="shared" ca="1" si="48"/>
        <v>82600</v>
      </c>
    </row>
    <row r="3745" spans="1:6" x14ac:dyDescent="0.25">
      <c r="A3745" s="8">
        <v>49161503</v>
      </c>
      <c r="B3745" s="9" t="str">
        <f t="shared" ca="1" si="47"/>
        <v>Pelotas de beisbol</v>
      </c>
      <c r="C3745" s="33" t="s">
        <v>55</v>
      </c>
      <c r="D3745" s="8">
        <v>25</v>
      </c>
      <c r="E3745" s="11">
        <v>295</v>
      </c>
      <c r="F3745" s="10">
        <f t="shared" ca="1" si="48"/>
        <v>7375</v>
      </c>
    </row>
    <row r="3746" spans="1:6" x14ac:dyDescent="0.25">
      <c r="A3746" s="8">
        <v>49221507</v>
      </c>
      <c r="B3746" s="9" t="str">
        <f t="shared" ca="1" si="47"/>
        <v>Tableros de basquetbol</v>
      </c>
      <c r="C3746" s="33" t="s">
        <v>55</v>
      </c>
      <c r="D3746" s="8">
        <v>10</v>
      </c>
      <c r="E3746" s="11">
        <v>41300</v>
      </c>
      <c r="F3746" s="10">
        <f t="shared" ca="1" si="48"/>
        <v>413000</v>
      </c>
    </row>
    <row r="3747" spans="1:6" x14ac:dyDescent="0.25">
      <c r="A3747" s="8">
        <v>49221505</v>
      </c>
      <c r="B3747" s="9" t="str">
        <f t="shared" ca="1" si="47"/>
        <v>Mallas o redes para deportes</v>
      </c>
      <c r="C3747" s="33" t="s">
        <v>55</v>
      </c>
      <c r="D3747" s="8">
        <v>25</v>
      </c>
      <c r="E3747" s="11">
        <v>241.9</v>
      </c>
      <c r="F3747" s="10">
        <f t="shared" ca="1" si="48"/>
        <v>6047.5</v>
      </c>
    </row>
    <row r="3748" spans="1:6" x14ac:dyDescent="0.25">
      <c r="A3748" s="8">
        <v>49161506</v>
      </c>
      <c r="B3748" s="9" t="str">
        <f t="shared" ca="1" si="47"/>
        <v>Bates de beisbol</v>
      </c>
      <c r="C3748" s="33" t="s">
        <v>55</v>
      </c>
      <c r="D3748" s="8">
        <v>25</v>
      </c>
      <c r="E3748" s="11">
        <v>5074</v>
      </c>
      <c r="F3748" s="10">
        <f t="shared" ca="1" si="48"/>
        <v>126850</v>
      </c>
    </row>
    <row r="3749" spans="1:6" x14ac:dyDescent="0.25">
      <c r="A3749" s="8">
        <v>49161520</v>
      </c>
      <c r="B3749" s="9" t="str">
        <f t="shared" ca="1" si="47"/>
        <v>Bates de softbol</v>
      </c>
      <c r="C3749" s="33" t="s">
        <v>55</v>
      </c>
      <c r="D3749" s="8">
        <v>10</v>
      </c>
      <c r="E3749" s="11">
        <v>4277.5</v>
      </c>
      <c r="F3749" s="10">
        <f t="shared" ca="1" si="48"/>
        <v>42775</v>
      </c>
    </row>
    <row r="3750" spans="1:6" x14ac:dyDescent="0.25">
      <c r="A3750" s="8">
        <v>49161608</v>
      </c>
      <c r="B3750" s="9" t="str">
        <f t="shared" ca="1" si="47"/>
        <v>Balones de voleibol</v>
      </c>
      <c r="C3750" s="33" t="s">
        <v>55</v>
      </c>
      <c r="D3750" s="8">
        <v>50</v>
      </c>
      <c r="E3750" s="11">
        <v>1800</v>
      </c>
      <c r="F3750" s="10">
        <f t="shared" ca="1" si="48"/>
        <v>90000</v>
      </c>
    </row>
    <row r="3751" spans="1:6" x14ac:dyDescent="0.25">
      <c r="A3751" s="8">
        <v>49161506</v>
      </c>
      <c r="B3751" s="9" t="str">
        <f t="shared" ca="1" si="47"/>
        <v>Bates de beisbol</v>
      </c>
      <c r="C3751" s="33" t="s">
        <v>55</v>
      </c>
      <c r="D3751" s="8">
        <v>15</v>
      </c>
      <c r="E3751" s="11">
        <v>4074</v>
      </c>
      <c r="F3751" s="10">
        <f t="shared" ca="1" si="48"/>
        <v>61110</v>
      </c>
    </row>
    <row r="3752" spans="1:6" x14ac:dyDescent="0.25">
      <c r="A3752" s="40"/>
      <c r="B3752" s="40"/>
      <c r="C3752" s="40"/>
      <c r="D3752" s="40"/>
      <c r="E3752" s="13" t="s">
        <v>87</v>
      </c>
      <c r="F3752" s="14">
        <f ca="1">SUM(Table3147[MONTO TOTAL ESTIMADO])</f>
        <v>1662497.5</v>
      </c>
    </row>
    <row r="3753" spans="1:6" ht="15.75" thickBot="1" x14ac:dyDescent="0.3">
      <c r="A3753" s="42"/>
      <c r="B3753" s="42"/>
      <c r="C3753" s="42"/>
      <c r="D3753" s="42"/>
      <c r="E3753" s="42"/>
      <c r="F3753" s="42"/>
    </row>
    <row r="3754" spans="1:6" ht="23.25" thickBot="1" x14ac:dyDescent="0.3">
      <c r="A3754" s="4" t="s">
        <v>19</v>
      </c>
      <c r="B3754" s="4" t="s">
        <v>20</v>
      </c>
      <c r="C3754" s="4" t="s">
        <v>21</v>
      </c>
      <c r="D3754" s="4" t="s">
        <v>22</v>
      </c>
      <c r="E3754" s="4" t="s">
        <v>23</v>
      </c>
      <c r="F3754" s="4" t="s">
        <v>24</v>
      </c>
    </row>
    <row r="3755" spans="1:6" ht="15.75" thickBot="1" x14ac:dyDescent="0.3">
      <c r="A3755" s="32" t="s">
        <v>527</v>
      </c>
      <c r="B3755" s="32" t="s">
        <v>528</v>
      </c>
      <c r="C3755" s="32" t="s">
        <v>129</v>
      </c>
      <c r="D3755" s="6" t="s">
        <v>28</v>
      </c>
      <c r="E3755" s="6" t="s">
        <v>262</v>
      </c>
      <c r="F3755" s="6"/>
    </row>
    <row r="3756" spans="1:6" ht="15.75" thickBot="1" x14ac:dyDescent="0.3">
      <c r="A3756" s="35" t="s">
        <v>31</v>
      </c>
      <c r="B3756" s="7" t="s">
        <v>32</v>
      </c>
      <c r="C3756" s="15">
        <v>45383</v>
      </c>
      <c r="D3756" s="35" t="s">
        <v>33</v>
      </c>
      <c r="E3756" s="7" t="s">
        <v>34</v>
      </c>
      <c r="F3756" s="6"/>
    </row>
    <row r="3757" spans="1:6" ht="15.75" thickBot="1" x14ac:dyDescent="0.3">
      <c r="A3757" s="36"/>
      <c r="B3757" s="7" t="s">
        <v>36</v>
      </c>
      <c r="C3757" s="5">
        <f>IF(C3756="","",IF(AND(MONTH(C3756)&gt;=1,MONTH(C3756)&lt;=3),1,IF(AND(MONTH(C3756)&gt;=4,MONTH(C3756)&lt;=6),2,IF(AND(MONTH(C3756)&gt;=7,MONTH(C3756)&lt;=9),3,4))))</f>
        <v>2</v>
      </c>
      <c r="D3757" s="36"/>
      <c r="E3757" s="7" t="s">
        <v>37</v>
      </c>
      <c r="F3757" s="6"/>
    </row>
    <row r="3758" spans="1:6" ht="15.75" thickBot="1" x14ac:dyDescent="0.3">
      <c r="A3758" s="36"/>
      <c r="B3758" s="7" t="s">
        <v>39</v>
      </c>
      <c r="C3758" s="15">
        <v>45473</v>
      </c>
      <c r="D3758" s="36"/>
      <c r="E3758" s="7" t="s">
        <v>40</v>
      </c>
      <c r="F3758" s="6"/>
    </row>
    <row r="3759" spans="1:6" ht="15.75" thickBot="1" x14ac:dyDescent="0.3">
      <c r="A3759" s="36"/>
      <c r="B3759" s="7" t="s">
        <v>36</v>
      </c>
      <c r="C3759" s="5">
        <f>IF(C3758="","",IF(AND(MONTH(C3758)&gt;=1,MONTH(C3758)&lt;=3),1,IF(AND(MONTH(C3758)&gt;=4,MONTH(C3758)&lt;=6),2,IF(AND(MONTH(C3758)&gt;=7,MONTH(C3758)&lt;=9),3,4))))</f>
        <v>2</v>
      </c>
      <c r="D3759" s="36"/>
      <c r="E3759" s="7" t="s">
        <v>41</v>
      </c>
      <c r="F3759" s="6"/>
    </row>
    <row r="3760" spans="1:6" ht="15.75" thickBot="1" x14ac:dyDescent="0.3">
      <c r="A3760" s="40"/>
      <c r="B3760" s="40"/>
      <c r="C3760" s="40"/>
      <c r="D3760" s="40"/>
      <c r="E3760" s="40"/>
      <c r="F3760" s="40"/>
    </row>
    <row r="3761" spans="1:6" ht="15.75" thickBot="1" x14ac:dyDescent="0.3">
      <c r="A3761" s="12" t="s">
        <v>42</v>
      </c>
      <c r="B3761" s="12" t="s">
        <v>43</v>
      </c>
      <c r="C3761" s="12" t="s">
        <v>44</v>
      </c>
      <c r="D3761" s="12" t="s">
        <v>45</v>
      </c>
      <c r="E3761" s="12" t="s">
        <v>46</v>
      </c>
      <c r="F3761" s="12" t="s">
        <v>47</v>
      </c>
    </row>
    <row r="3762" spans="1:6" ht="22.5" x14ac:dyDescent="0.25">
      <c r="A3762" s="41">
        <v>78101802</v>
      </c>
      <c r="B3762" s="9" t="str">
        <f ca="1">IFERROR(INDEX(UNSPSCDes,MATCH(INDIRECT(ADDRESS(ROW(),COLUMN()-1,4)),UNSPSCCode,0)),"")</f>
        <v>Servicios transporte de carga por carretera (en camión) a nivel regional y nacional</v>
      </c>
      <c r="C3762" s="33" t="s">
        <v>55</v>
      </c>
      <c r="D3762" s="8">
        <v>10</v>
      </c>
      <c r="E3762" s="11">
        <v>35000</v>
      </c>
      <c r="F3762" s="10">
        <f ca="1">INDIRECT(ADDRESS(ROW(),COLUMN()-2,4))*INDIRECT(ADDRESS(ROW(),COLUMN()-1,4))</f>
        <v>350000</v>
      </c>
    </row>
    <row r="3763" spans="1:6" x14ac:dyDescent="0.25">
      <c r="A3763" s="41">
        <v>78111808</v>
      </c>
      <c r="B3763" s="9" t="str">
        <f ca="1">IFERROR(INDEX(UNSPSCDes,MATCH(INDIRECT(ADDRESS(ROW(),COLUMN()-1,4)),UNSPSCCode,0)),"")</f>
        <v>Alquiler de vehículos</v>
      </c>
      <c r="C3763" s="33" t="s">
        <v>55</v>
      </c>
      <c r="D3763" s="8">
        <v>20</v>
      </c>
      <c r="E3763" s="11">
        <v>16000</v>
      </c>
      <c r="F3763" s="10">
        <f ca="1">INDIRECT(ADDRESS(ROW(),COLUMN()-2,4))*INDIRECT(ADDRESS(ROW(),COLUMN()-1,4))</f>
        <v>320000</v>
      </c>
    </row>
    <row r="3764" spans="1:6" x14ac:dyDescent="0.25">
      <c r="A3764" s="40"/>
      <c r="B3764" s="40"/>
      <c r="C3764" s="40"/>
      <c r="D3764" s="40"/>
      <c r="E3764" s="13" t="s">
        <v>87</v>
      </c>
      <c r="F3764" s="14">
        <f ca="1">SUM(Table3148[MONTO TOTAL ESTIMADO])</f>
        <v>670000</v>
      </c>
    </row>
    <row r="3765" spans="1:6" ht="15.75" thickBot="1" x14ac:dyDescent="0.3">
      <c r="A3765" s="42"/>
      <c r="B3765" s="42"/>
      <c r="C3765" s="42"/>
      <c r="D3765" s="42"/>
      <c r="E3765" s="42"/>
      <c r="F3765" s="42"/>
    </row>
    <row r="3766" spans="1:6" ht="23.25" thickBot="1" x14ac:dyDescent="0.3">
      <c r="A3766" s="4" t="s">
        <v>19</v>
      </c>
      <c r="B3766" s="4" t="s">
        <v>20</v>
      </c>
      <c r="C3766" s="4" t="s">
        <v>21</v>
      </c>
      <c r="D3766" s="4" t="s">
        <v>22</v>
      </c>
      <c r="E3766" s="4" t="s">
        <v>23</v>
      </c>
      <c r="F3766" s="4" t="s">
        <v>24</v>
      </c>
    </row>
    <row r="3767" spans="1:6" ht="15.75" thickBot="1" x14ac:dyDescent="0.3">
      <c r="A3767" s="32" t="s">
        <v>268</v>
      </c>
      <c r="B3767" s="32" t="s">
        <v>529</v>
      </c>
      <c r="C3767" s="32" t="s">
        <v>129</v>
      </c>
      <c r="D3767" s="6" t="s">
        <v>28</v>
      </c>
      <c r="E3767" s="6" t="s">
        <v>262</v>
      </c>
      <c r="F3767" s="6"/>
    </row>
    <row r="3768" spans="1:6" ht="15.75" thickBot="1" x14ac:dyDescent="0.3">
      <c r="A3768" s="35" t="s">
        <v>31</v>
      </c>
      <c r="B3768" s="7" t="s">
        <v>32</v>
      </c>
      <c r="C3768" s="15">
        <v>45383</v>
      </c>
      <c r="D3768" s="35" t="s">
        <v>33</v>
      </c>
      <c r="E3768" s="7" t="s">
        <v>34</v>
      </c>
      <c r="F3768" s="6"/>
    </row>
    <row r="3769" spans="1:6" ht="15.75" thickBot="1" x14ac:dyDescent="0.3">
      <c r="A3769" s="36"/>
      <c r="B3769" s="7" t="s">
        <v>36</v>
      </c>
      <c r="C3769" s="5">
        <f>IF(C3768="","",IF(AND(MONTH(C3768)&gt;=1,MONTH(C3768)&lt;=3),1,IF(AND(MONTH(C3768)&gt;=4,MONTH(C3768)&lt;=6),2,IF(AND(MONTH(C3768)&gt;=7,MONTH(C3768)&lt;=9),3,4))))</f>
        <v>2</v>
      </c>
      <c r="D3769" s="36"/>
      <c r="E3769" s="7" t="s">
        <v>37</v>
      </c>
      <c r="F3769" s="6"/>
    </row>
    <row r="3770" spans="1:6" ht="15.75" thickBot="1" x14ac:dyDescent="0.3">
      <c r="A3770" s="36"/>
      <c r="B3770" s="7" t="s">
        <v>39</v>
      </c>
      <c r="C3770" s="15">
        <v>45473</v>
      </c>
      <c r="D3770" s="36"/>
      <c r="E3770" s="7" t="s">
        <v>40</v>
      </c>
      <c r="F3770" s="6"/>
    </row>
    <row r="3771" spans="1:6" ht="15.75" thickBot="1" x14ac:dyDescent="0.3">
      <c r="A3771" s="36"/>
      <c r="B3771" s="7" t="s">
        <v>36</v>
      </c>
      <c r="C3771" s="5">
        <f>IF(C3770="","",IF(AND(MONTH(C3770)&gt;=1,MONTH(C3770)&lt;=3),1,IF(AND(MONTH(C3770)&gt;=4,MONTH(C3770)&lt;=6),2,IF(AND(MONTH(C3770)&gt;=7,MONTH(C3770)&lt;=9),3,4))))</f>
        <v>2</v>
      </c>
      <c r="D3771" s="36"/>
      <c r="E3771" s="7" t="s">
        <v>41</v>
      </c>
      <c r="F3771" s="6"/>
    </row>
    <row r="3772" spans="1:6" ht="15.75" thickBot="1" x14ac:dyDescent="0.3">
      <c r="A3772" s="40"/>
      <c r="B3772" s="40"/>
      <c r="C3772" s="40"/>
      <c r="D3772" s="40"/>
      <c r="E3772" s="40"/>
      <c r="F3772" s="40"/>
    </row>
    <row r="3773" spans="1:6" ht="15.75" thickBot="1" x14ac:dyDescent="0.3">
      <c r="A3773" s="12" t="s">
        <v>42</v>
      </c>
      <c r="B3773" s="12" t="s">
        <v>43</v>
      </c>
      <c r="C3773" s="12" t="s">
        <v>44</v>
      </c>
      <c r="D3773" s="12" t="s">
        <v>45</v>
      </c>
      <c r="E3773" s="12" t="s">
        <v>46</v>
      </c>
      <c r="F3773" s="12" t="s">
        <v>47</v>
      </c>
    </row>
    <row r="3774" spans="1:6" x14ac:dyDescent="0.25">
      <c r="A3774" s="8">
        <v>78111808</v>
      </c>
      <c r="B3774" s="9" t="str">
        <f ca="1">IFERROR(INDEX(UNSPSCDes,MATCH(INDIRECT(ADDRESS(ROW(),COLUMN()-1,4)),UNSPSCCode,0)),"")</f>
        <v>Alquiler de vehículos</v>
      </c>
      <c r="C3774" s="33" t="s">
        <v>55</v>
      </c>
      <c r="D3774" s="8">
        <v>1</v>
      </c>
      <c r="E3774" s="11">
        <v>1700000</v>
      </c>
      <c r="F3774" s="10">
        <f ca="1">INDIRECT(ADDRESS(ROW(),COLUMN()-2,4))*INDIRECT(ADDRESS(ROW(),COLUMN()-1,4))</f>
        <v>1700000</v>
      </c>
    </row>
    <row r="3775" spans="1:6" x14ac:dyDescent="0.25">
      <c r="A3775" s="40"/>
      <c r="B3775" s="40"/>
      <c r="C3775" s="40"/>
      <c r="D3775" s="40"/>
      <c r="E3775" s="13" t="s">
        <v>87</v>
      </c>
      <c r="F3775" s="14">
        <f ca="1">SUM(Table3149[MONTO TOTAL ESTIMADO])</f>
        <v>1700000</v>
      </c>
    </row>
    <row r="3776" spans="1:6" ht="15.75" thickBot="1" x14ac:dyDescent="0.3">
      <c r="A3776" s="42"/>
      <c r="B3776" s="42"/>
      <c r="C3776" s="42"/>
      <c r="D3776" s="42"/>
      <c r="E3776" s="42"/>
      <c r="F3776" s="42"/>
    </row>
    <row r="3777" spans="1:6" ht="23.25" thickBot="1" x14ac:dyDescent="0.3">
      <c r="A3777" s="4" t="s">
        <v>19</v>
      </c>
      <c r="B3777" s="4" t="s">
        <v>20</v>
      </c>
      <c r="C3777" s="4" t="s">
        <v>21</v>
      </c>
      <c r="D3777" s="4" t="s">
        <v>22</v>
      </c>
      <c r="E3777" s="4" t="s">
        <v>23</v>
      </c>
      <c r="F3777" s="4" t="s">
        <v>24</v>
      </c>
    </row>
    <row r="3778" spans="1:6" ht="15.75" thickBot="1" x14ac:dyDescent="0.3">
      <c r="A3778" s="32" t="s">
        <v>510</v>
      </c>
      <c r="B3778" s="32" t="s">
        <v>511</v>
      </c>
      <c r="C3778" s="32" t="s">
        <v>27</v>
      </c>
      <c r="D3778" s="6" t="s">
        <v>28</v>
      </c>
      <c r="E3778" s="6" t="s">
        <v>262</v>
      </c>
      <c r="F3778" s="6"/>
    </row>
    <row r="3779" spans="1:6" ht="15.75" thickBot="1" x14ac:dyDescent="0.3">
      <c r="A3779" s="35" t="s">
        <v>31</v>
      </c>
      <c r="B3779" s="7" t="s">
        <v>32</v>
      </c>
      <c r="C3779" s="15">
        <v>45383</v>
      </c>
      <c r="D3779" s="35" t="s">
        <v>33</v>
      </c>
      <c r="E3779" s="7" t="s">
        <v>34</v>
      </c>
      <c r="F3779" s="6"/>
    </row>
    <row r="3780" spans="1:6" ht="15.75" thickBot="1" x14ac:dyDescent="0.3">
      <c r="A3780" s="36"/>
      <c r="B3780" s="7" t="s">
        <v>36</v>
      </c>
      <c r="C3780" s="5">
        <f>IF(C3779="","",IF(AND(MONTH(C3779)&gt;=1,MONTH(C3779)&lt;=3),1,IF(AND(MONTH(C3779)&gt;=4,MONTH(C3779)&lt;=6),2,IF(AND(MONTH(C3779)&gt;=7,MONTH(C3779)&lt;=9),3,4))))</f>
        <v>2</v>
      </c>
      <c r="D3780" s="36"/>
      <c r="E3780" s="7" t="s">
        <v>37</v>
      </c>
      <c r="F3780" s="6"/>
    </row>
    <row r="3781" spans="1:6" ht="15.75" thickBot="1" x14ac:dyDescent="0.3">
      <c r="A3781" s="36"/>
      <c r="B3781" s="7" t="s">
        <v>39</v>
      </c>
      <c r="C3781" s="15">
        <v>45473</v>
      </c>
      <c r="D3781" s="36"/>
      <c r="E3781" s="7" t="s">
        <v>40</v>
      </c>
      <c r="F3781" s="6"/>
    </row>
    <row r="3782" spans="1:6" ht="15.75" thickBot="1" x14ac:dyDescent="0.3">
      <c r="A3782" s="36"/>
      <c r="B3782" s="7" t="s">
        <v>36</v>
      </c>
      <c r="C3782" s="5">
        <f>IF(C3781="","",IF(AND(MONTH(C3781)&gt;=1,MONTH(C3781)&lt;=3),1,IF(AND(MONTH(C3781)&gt;=4,MONTH(C3781)&lt;=6),2,IF(AND(MONTH(C3781)&gt;=7,MONTH(C3781)&lt;=9),3,4))))</f>
        <v>2</v>
      </c>
      <c r="D3782" s="36"/>
      <c r="E3782" s="7" t="s">
        <v>41</v>
      </c>
      <c r="F3782" s="6"/>
    </row>
    <row r="3783" spans="1:6" ht="15.75" thickBot="1" x14ac:dyDescent="0.3">
      <c r="A3783" s="40"/>
      <c r="B3783" s="40"/>
      <c r="C3783" s="40"/>
      <c r="D3783" s="40"/>
      <c r="E3783" s="40"/>
      <c r="F3783" s="40"/>
    </row>
    <row r="3784" spans="1:6" ht="15.75" thickBot="1" x14ac:dyDescent="0.3">
      <c r="A3784" s="12" t="s">
        <v>42</v>
      </c>
      <c r="B3784" s="12" t="s">
        <v>43</v>
      </c>
      <c r="C3784" s="12" t="s">
        <v>44</v>
      </c>
      <c r="D3784" s="12" t="s">
        <v>45</v>
      </c>
      <c r="E3784" s="12" t="s">
        <v>46</v>
      </c>
      <c r="F3784" s="12" t="s">
        <v>47</v>
      </c>
    </row>
    <row r="3785" spans="1:6" x14ac:dyDescent="0.25">
      <c r="A3785" s="8">
        <v>49161608</v>
      </c>
      <c r="B3785" s="9" t="str">
        <f t="shared" ref="B3785:B3802" ca="1" si="49">IFERROR(INDEX(UNSPSCDes,MATCH(INDIRECT(ADDRESS(ROW(),COLUMN()-1,4)),UNSPSCCode,0)),"")</f>
        <v>Balones de voleibol</v>
      </c>
      <c r="C3785" s="33" t="s">
        <v>55</v>
      </c>
      <c r="D3785" s="8">
        <v>100</v>
      </c>
      <c r="E3785" s="11">
        <v>1593</v>
      </c>
      <c r="F3785" s="10">
        <f t="shared" ref="F3785:F3802" ca="1" si="50">INDIRECT(ADDRESS(ROW(),COLUMN()-2,4))*INDIRECT(ADDRESS(ROW(),COLUMN()-1,4))</f>
        <v>159300</v>
      </c>
    </row>
    <row r="3786" spans="1:6" x14ac:dyDescent="0.25">
      <c r="A3786" s="8">
        <v>49161603</v>
      </c>
      <c r="B3786" s="9" t="str">
        <f t="shared" ca="1" si="49"/>
        <v>Pelotas de básquetbol</v>
      </c>
      <c r="C3786" s="33" t="s">
        <v>55</v>
      </c>
      <c r="D3786" s="8">
        <v>30</v>
      </c>
      <c r="E3786" s="11">
        <v>1640</v>
      </c>
      <c r="F3786" s="10">
        <f t="shared" ca="1" si="50"/>
        <v>49200</v>
      </c>
    </row>
    <row r="3787" spans="1:6" x14ac:dyDescent="0.25">
      <c r="A3787" s="8">
        <v>49161603</v>
      </c>
      <c r="B3787" s="9" t="str">
        <f t="shared" ca="1" si="49"/>
        <v>Pelotas de básquetbol</v>
      </c>
      <c r="C3787" s="33" t="s">
        <v>55</v>
      </c>
      <c r="D3787" s="8">
        <v>100</v>
      </c>
      <c r="E3787" s="11">
        <v>1593</v>
      </c>
      <c r="F3787" s="10">
        <f t="shared" ca="1" si="50"/>
        <v>159300</v>
      </c>
    </row>
    <row r="3788" spans="1:6" x14ac:dyDescent="0.25">
      <c r="A3788" s="8">
        <v>49161503</v>
      </c>
      <c r="B3788" s="9" t="str">
        <f t="shared" ca="1" si="49"/>
        <v>Pelotas de beisbol</v>
      </c>
      <c r="C3788" s="33" t="s">
        <v>55</v>
      </c>
      <c r="D3788" s="8">
        <v>100</v>
      </c>
      <c r="E3788" s="11">
        <v>425</v>
      </c>
      <c r="F3788" s="10">
        <f t="shared" ca="1" si="50"/>
        <v>42500</v>
      </c>
    </row>
    <row r="3789" spans="1:6" x14ac:dyDescent="0.25">
      <c r="A3789" s="8">
        <v>49161509</v>
      </c>
      <c r="B3789" s="9" t="str">
        <f t="shared" ca="1" si="49"/>
        <v>Balones de softbol</v>
      </c>
      <c r="C3789" s="33" t="s">
        <v>55</v>
      </c>
      <c r="D3789" s="8">
        <v>100</v>
      </c>
      <c r="E3789" s="11">
        <v>477.9</v>
      </c>
      <c r="F3789" s="10">
        <f t="shared" ca="1" si="50"/>
        <v>47790</v>
      </c>
    </row>
    <row r="3790" spans="1:6" x14ac:dyDescent="0.25">
      <c r="A3790" s="8">
        <v>49161504</v>
      </c>
      <c r="B3790" s="9" t="str">
        <f t="shared" ca="1" si="49"/>
        <v>Balones de futbol</v>
      </c>
      <c r="C3790" s="33" t="s">
        <v>55</v>
      </c>
      <c r="D3790" s="8">
        <v>50</v>
      </c>
      <c r="E3790" s="11">
        <v>1593</v>
      </c>
      <c r="F3790" s="10">
        <f t="shared" ca="1" si="50"/>
        <v>79650</v>
      </c>
    </row>
    <row r="3791" spans="1:6" x14ac:dyDescent="0.25">
      <c r="A3791" s="8">
        <v>49161504</v>
      </c>
      <c r="B3791" s="9" t="str">
        <f t="shared" ca="1" si="49"/>
        <v>Balones de futbol</v>
      </c>
      <c r="C3791" s="33" t="s">
        <v>55</v>
      </c>
      <c r="D3791" s="8">
        <v>60</v>
      </c>
      <c r="E3791" s="11">
        <v>1593</v>
      </c>
      <c r="F3791" s="10">
        <f t="shared" ca="1" si="50"/>
        <v>95580</v>
      </c>
    </row>
    <row r="3792" spans="1:6" x14ac:dyDescent="0.25">
      <c r="A3792" s="8">
        <v>49221502</v>
      </c>
      <c r="B3792" s="9" t="str">
        <f t="shared" ca="1" si="49"/>
        <v>Porterías</v>
      </c>
      <c r="C3792" s="33" t="s">
        <v>55</v>
      </c>
      <c r="D3792" s="8">
        <v>30</v>
      </c>
      <c r="E3792" s="11">
        <v>1416</v>
      </c>
      <c r="F3792" s="10">
        <f t="shared" ca="1" si="50"/>
        <v>42480</v>
      </c>
    </row>
    <row r="3793" spans="1:6" x14ac:dyDescent="0.25">
      <c r="A3793" s="8">
        <v>49181509</v>
      </c>
      <c r="B3793" s="9" t="str">
        <f t="shared" ca="1" si="49"/>
        <v>Bolas de ping pong</v>
      </c>
      <c r="C3793" s="33" t="s">
        <v>55</v>
      </c>
      <c r="D3793" s="8">
        <v>100</v>
      </c>
      <c r="E3793" s="11">
        <v>94.4</v>
      </c>
      <c r="F3793" s="10">
        <f t="shared" ca="1" si="50"/>
        <v>9440</v>
      </c>
    </row>
    <row r="3794" spans="1:6" x14ac:dyDescent="0.25">
      <c r="A3794" s="8">
        <v>49161603</v>
      </c>
      <c r="B3794" s="9" t="str">
        <f t="shared" ca="1" si="49"/>
        <v>Pelotas de básquetbol</v>
      </c>
      <c r="C3794" s="33" t="s">
        <v>55</v>
      </c>
      <c r="D3794" s="8">
        <v>50</v>
      </c>
      <c r="E3794" s="11">
        <v>2950</v>
      </c>
      <c r="F3794" s="10">
        <f t="shared" ca="1" si="50"/>
        <v>147500</v>
      </c>
    </row>
    <row r="3795" spans="1:6" x14ac:dyDescent="0.25">
      <c r="A3795" s="8">
        <v>49161603</v>
      </c>
      <c r="B3795" s="9" t="str">
        <f t="shared" ca="1" si="49"/>
        <v>Pelotas de básquetbol</v>
      </c>
      <c r="C3795" s="33" t="s">
        <v>55</v>
      </c>
      <c r="D3795" s="8">
        <v>25</v>
      </c>
      <c r="E3795" s="11">
        <v>3304</v>
      </c>
      <c r="F3795" s="10">
        <f t="shared" ca="1" si="50"/>
        <v>82600</v>
      </c>
    </row>
    <row r="3796" spans="1:6" x14ac:dyDescent="0.25">
      <c r="A3796" s="8">
        <v>49161503</v>
      </c>
      <c r="B3796" s="9" t="str">
        <f t="shared" ca="1" si="49"/>
        <v>Pelotas de beisbol</v>
      </c>
      <c r="C3796" s="33" t="s">
        <v>55</v>
      </c>
      <c r="D3796" s="8">
        <v>25</v>
      </c>
      <c r="E3796" s="11">
        <v>295</v>
      </c>
      <c r="F3796" s="10">
        <f t="shared" ca="1" si="50"/>
        <v>7375</v>
      </c>
    </row>
    <row r="3797" spans="1:6" x14ac:dyDescent="0.25">
      <c r="A3797" s="8">
        <v>49221507</v>
      </c>
      <c r="B3797" s="9" t="str">
        <f t="shared" ca="1" si="49"/>
        <v>Tableros de basquetbol</v>
      </c>
      <c r="C3797" s="33" t="s">
        <v>55</v>
      </c>
      <c r="D3797" s="8">
        <v>10</v>
      </c>
      <c r="E3797" s="11">
        <v>41300</v>
      </c>
      <c r="F3797" s="10">
        <f t="shared" ca="1" si="50"/>
        <v>413000</v>
      </c>
    </row>
    <row r="3798" spans="1:6" x14ac:dyDescent="0.25">
      <c r="A3798" s="8">
        <v>49221505</v>
      </c>
      <c r="B3798" s="9" t="str">
        <f t="shared" ca="1" si="49"/>
        <v>Mallas o redes para deportes</v>
      </c>
      <c r="C3798" s="33" t="s">
        <v>55</v>
      </c>
      <c r="D3798" s="8">
        <v>25</v>
      </c>
      <c r="E3798" s="11">
        <v>241.9</v>
      </c>
      <c r="F3798" s="10">
        <f t="shared" ca="1" si="50"/>
        <v>6047.5</v>
      </c>
    </row>
    <row r="3799" spans="1:6" x14ac:dyDescent="0.25">
      <c r="A3799" s="8">
        <v>49161506</v>
      </c>
      <c r="B3799" s="9" t="str">
        <f t="shared" ca="1" si="49"/>
        <v>Bates de beisbol</v>
      </c>
      <c r="C3799" s="33" t="s">
        <v>55</v>
      </c>
      <c r="D3799" s="8">
        <v>25</v>
      </c>
      <c r="E3799" s="11">
        <v>5074</v>
      </c>
      <c r="F3799" s="10">
        <f t="shared" ca="1" si="50"/>
        <v>126850</v>
      </c>
    </row>
    <row r="3800" spans="1:6" x14ac:dyDescent="0.25">
      <c r="A3800" s="8">
        <v>49161520</v>
      </c>
      <c r="B3800" s="9" t="str">
        <f t="shared" ca="1" si="49"/>
        <v>Bates de softbol</v>
      </c>
      <c r="C3800" s="33" t="s">
        <v>55</v>
      </c>
      <c r="D3800" s="8">
        <v>10</v>
      </c>
      <c r="E3800" s="11">
        <v>4277.5</v>
      </c>
      <c r="F3800" s="10">
        <f t="shared" ca="1" si="50"/>
        <v>42775</v>
      </c>
    </row>
    <row r="3801" spans="1:6" x14ac:dyDescent="0.25">
      <c r="A3801" s="8">
        <v>49161608</v>
      </c>
      <c r="B3801" s="9" t="str">
        <f t="shared" ca="1" si="49"/>
        <v>Balones de voleibol</v>
      </c>
      <c r="C3801" s="33" t="s">
        <v>55</v>
      </c>
      <c r="D3801" s="8">
        <v>50</v>
      </c>
      <c r="E3801" s="11">
        <v>1800</v>
      </c>
      <c r="F3801" s="10">
        <f t="shared" ca="1" si="50"/>
        <v>90000</v>
      </c>
    </row>
    <row r="3802" spans="1:6" x14ac:dyDescent="0.25">
      <c r="A3802" s="8">
        <v>49161506</v>
      </c>
      <c r="B3802" s="9" t="str">
        <f t="shared" ca="1" si="49"/>
        <v>Bates de beisbol</v>
      </c>
      <c r="C3802" s="33" t="s">
        <v>55</v>
      </c>
      <c r="D3802" s="8">
        <v>15</v>
      </c>
      <c r="E3802" s="11">
        <v>4074</v>
      </c>
      <c r="F3802" s="10">
        <f t="shared" ca="1" si="50"/>
        <v>61110</v>
      </c>
    </row>
    <row r="3803" spans="1:6" x14ac:dyDescent="0.25">
      <c r="A3803" s="40"/>
      <c r="B3803" s="40"/>
      <c r="C3803" s="40"/>
      <c r="D3803" s="40"/>
      <c r="E3803" s="13" t="s">
        <v>87</v>
      </c>
      <c r="F3803" s="14">
        <f ca="1">SUM(Table3150[MONTO TOTAL ESTIMADO])</f>
        <v>1662497.5</v>
      </c>
    </row>
    <row r="3804" spans="1:6" ht="15.75" thickBot="1" x14ac:dyDescent="0.3">
      <c r="A3804" s="42"/>
      <c r="B3804" s="42"/>
      <c r="C3804" s="42"/>
      <c r="D3804" s="42"/>
      <c r="E3804" s="42"/>
      <c r="F3804" s="42"/>
    </row>
    <row r="3805" spans="1:6" ht="23.25" thickBot="1" x14ac:dyDescent="0.3">
      <c r="A3805" s="4" t="s">
        <v>19</v>
      </c>
      <c r="B3805" s="4" t="s">
        <v>20</v>
      </c>
      <c r="C3805" s="4" t="s">
        <v>21</v>
      </c>
      <c r="D3805" s="4" t="s">
        <v>22</v>
      </c>
      <c r="E3805" s="4" t="s">
        <v>23</v>
      </c>
      <c r="F3805" s="4" t="s">
        <v>24</v>
      </c>
    </row>
    <row r="3806" spans="1:6" ht="15.75" thickBot="1" x14ac:dyDescent="0.3">
      <c r="A3806" s="32" t="s">
        <v>530</v>
      </c>
      <c r="B3806" s="32" t="s">
        <v>531</v>
      </c>
      <c r="C3806" s="32" t="s">
        <v>27</v>
      </c>
      <c r="D3806" s="6" t="s">
        <v>28</v>
      </c>
      <c r="E3806" s="6" t="s">
        <v>262</v>
      </c>
      <c r="F3806" s="6"/>
    </row>
    <row r="3807" spans="1:6" ht="15.75" thickBot="1" x14ac:dyDescent="0.3">
      <c r="A3807" s="35" t="s">
        <v>31</v>
      </c>
      <c r="B3807" s="7" t="s">
        <v>32</v>
      </c>
      <c r="C3807" s="15">
        <v>45383</v>
      </c>
      <c r="D3807" s="35" t="s">
        <v>33</v>
      </c>
      <c r="E3807" s="7" t="s">
        <v>34</v>
      </c>
      <c r="F3807" s="6"/>
    </row>
    <row r="3808" spans="1:6" ht="15.75" thickBot="1" x14ac:dyDescent="0.3">
      <c r="A3808" s="36"/>
      <c r="B3808" s="7" t="s">
        <v>36</v>
      </c>
      <c r="C3808" s="5">
        <f>IF(C3807="","",IF(AND(MONTH(C3807)&gt;=1,MONTH(C3807)&lt;=3),1,IF(AND(MONTH(C3807)&gt;=4,MONTH(C3807)&lt;=6),2,IF(AND(MONTH(C3807)&gt;=7,MONTH(C3807)&lt;=9),3,4))))</f>
        <v>2</v>
      </c>
      <c r="D3808" s="36"/>
      <c r="E3808" s="7" t="s">
        <v>37</v>
      </c>
      <c r="F3808" s="6"/>
    </row>
    <row r="3809" spans="1:6" ht="15.75" thickBot="1" x14ac:dyDescent="0.3">
      <c r="A3809" s="36"/>
      <c r="B3809" s="7" t="s">
        <v>39</v>
      </c>
      <c r="C3809" s="15">
        <v>45473</v>
      </c>
      <c r="D3809" s="36"/>
      <c r="E3809" s="7" t="s">
        <v>40</v>
      </c>
      <c r="F3809" s="6"/>
    </row>
    <row r="3810" spans="1:6" ht="15.75" thickBot="1" x14ac:dyDescent="0.3">
      <c r="A3810" s="36"/>
      <c r="B3810" s="7" t="s">
        <v>36</v>
      </c>
      <c r="C3810" s="5">
        <f>IF(C3809="","",IF(AND(MONTH(C3809)&gt;=1,MONTH(C3809)&lt;=3),1,IF(AND(MONTH(C3809)&gt;=4,MONTH(C3809)&lt;=6),2,IF(AND(MONTH(C3809)&gt;=7,MONTH(C3809)&lt;=9),3,4))))</f>
        <v>2</v>
      </c>
      <c r="D3810" s="36"/>
      <c r="E3810" s="7" t="s">
        <v>41</v>
      </c>
      <c r="F3810" s="6"/>
    </row>
    <row r="3811" spans="1:6" ht="15.75" thickBot="1" x14ac:dyDescent="0.3">
      <c r="A3811" s="40"/>
      <c r="B3811" s="40"/>
      <c r="C3811" s="40"/>
      <c r="D3811" s="40"/>
      <c r="E3811" s="40"/>
      <c r="F3811" s="40"/>
    </row>
    <row r="3812" spans="1:6" ht="15.75" thickBot="1" x14ac:dyDescent="0.3">
      <c r="A3812" s="12" t="s">
        <v>42</v>
      </c>
      <c r="B3812" s="12" t="s">
        <v>43</v>
      </c>
      <c r="C3812" s="12" t="s">
        <v>44</v>
      </c>
      <c r="D3812" s="12" t="s">
        <v>45</v>
      </c>
      <c r="E3812" s="12" t="s">
        <v>46</v>
      </c>
      <c r="F3812" s="12" t="s">
        <v>47</v>
      </c>
    </row>
    <row r="3813" spans="1:6" x14ac:dyDescent="0.25">
      <c r="A3813" s="8">
        <v>11161704</v>
      </c>
      <c r="B3813" s="9" t="str">
        <f ca="1">IFERROR(INDEX(UNSPSCDes,MATCH(INDIRECT(ADDRESS(ROW(),COLUMN()-1,4)),UNSPSCCode,0)),"")</f>
        <v>Textiles de algodón tejido</v>
      </c>
      <c r="C3813" s="33" t="s">
        <v>55</v>
      </c>
      <c r="D3813" s="8">
        <v>2000</v>
      </c>
      <c r="E3813" s="11">
        <v>495.6</v>
      </c>
      <c r="F3813" s="10">
        <f ca="1">INDIRECT(ADDRESS(ROW(),COLUMN()-2,4))*INDIRECT(ADDRESS(ROW(),COLUMN()-1,4))</f>
        <v>991200</v>
      </c>
    </row>
    <row r="3814" spans="1:6" x14ac:dyDescent="0.25">
      <c r="A3814" s="40"/>
      <c r="B3814" s="40"/>
      <c r="C3814" s="40"/>
      <c r="D3814" s="40"/>
      <c r="E3814" s="13" t="s">
        <v>87</v>
      </c>
      <c r="F3814" s="14">
        <f ca="1">SUM(Table3151[MONTO TOTAL ESTIMADO])</f>
        <v>991200</v>
      </c>
    </row>
    <row r="3815" spans="1:6" ht="15.75" thickBot="1" x14ac:dyDescent="0.3">
      <c r="A3815" s="42"/>
      <c r="B3815" s="42"/>
      <c r="C3815" s="42"/>
      <c r="D3815" s="42"/>
      <c r="E3815" s="42"/>
      <c r="F3815" s="42"/>
    </row>
    <row r="3816" spans="1:6" ht="23.25" thickBot="1" x14ac:dyDescent="0.3">
      <c r="A3816" s="4" t="s">
        <v>19</v>
      </c>
      <c r="B3816" s="4" t="s">
        <v>20</v>
      </c>
      <c r="C3816" s="4" t="s">
        <v>21</v>
      </c>
      <c r="D3816" s="4" t="s">
        <v>22</v>
      </c>
      <c r="E3816" s="4" t="s">
        <v>23</v>
      </c>
      <c r="F3816" s="4" t="s">
        <v>24</v>
      </c>
    </row>
    <row r="3817" spans="1:6" ht="15.75" thickBot="1" x14ac:dyDescent="0.3">
      <c r="A3817" s="32" t="s">
        <v>510</v>
      </c>
      <c r="B3817" s="32" t="s">
        <v>511</v>
      </c>
      <c r="C3817" s="6" t="s">
        <v>27</v>
      </c>
      <c r="D3817" s="6" t="s">
        <v>28</v>
      </c>
      <c r="E3817" s="6" t="s">
        <v>262</v>
      </c>
      <c r="F3817" s="6"/>
    </row>
    <row r="3818" spans="1:6" ht="15.75" thickBot="1" x14ac:dyDescent="0.3">
      <c r="A3818" s="35" t="s">
        <v>31</v>
      </c>
      <c r="B3818" s="7" t="s">
        <v>32</v>
      </c>
      <c r="C3818" s="15">
        <v>45383</v>
      </c>
      <c r="D3818" s="35" t="s">
        <v>33</v>
      </c>
      <c r="E3818" s="7" t="s">
        <v>34</v>
      </c>
      <c r="F3818" s="6"/>
    </row>
    <row r="3819" spans="1:6" ht="15.75" thickBot="1" x14ac:dyDescent="0.3">
      <c r="A3819" s="36"/>
      <c r="B3819" s="7" t="s">
        <v>36</v>
      </c>
      <c r="C3819" s="5">
        <f>IF(C3818="","",IF(AND(MONTH(C3818)&gt;=1,MONTH(C3818)&lt;=3),1,IF(AND(MONTH(C3818)&gt;=4,MONTH(C3818)&lt;=6),2,IF(AND(MONTH(C3818)&gt;=7,MONTH(C3818)&lt;=9),3,4))))</f>
        <v>2</v>
      </c>
      <c r="D3819" s="36"/>
      <c r="E3819" s="7" t="s">
        <v>37</v>
      </c>
      <c r="F3819" s="6"/>
    </row>
    <row r="3820" spans="1:6" ht="15.75" thickBot="1" x14ac:dyDescent="0.3">
      <c r="A3820" s="36"/>
      <c r="B3820" s="7" t="s">
        <v>39</v>
      </c>
      <c r="C3820" s="15">
        <v>45473</v>
      </c>
      <c r="D3820" s="36"/>
      <c r="E3820" s="7" t="s">
        <v>40</v>
      </c>
      <c r="F3820" s="6"/>
    </row>
    <row r="3821" spans="1:6" ht="15.75" thickBot="1" x14ac:dyDescent="0.3">
      <c r="A3821" s="36"/>
      <c r="B3821" s="7" t="s">
        <v>36</v>
      </c>
      <c r="C3821" s="5">
        <f>IF(C3820="","",IF(AND(MONTH(C3820)&gt;=1,MONTH(C3820)&lt;=3),1,IF(AND(MONTH(C3820)&gt;=4,MONTH(C3820)&lt;=6),2,IF(AND(MONTH(C3820)&gt;=7,MONTH(C3820)&lt;=9),3,4))))</f>
        <v>2</v>
      </c>
      <c r="D3821" s="36"/>
      <c r="E3821" s="7" t="s">
        <v>41</v>
      </c>
      <c r="F3821" s="6"/>
    </row>
    <row r="3822" spans="1:6" ht="15.75" thickBot="1" x14ac:dyDescent="0.3">
      <c r="A3822" s="40"/>
      <c r="B3822" s="40"/>
      <c r="C3822" s="40"/>
      <c r="D3822" s="40"/>
      <c r="E3822" s="40"/>
      <c r="F3822" s="40"/>
    </row>
    <row r="3823" spans="1:6" ht="15.75" thickBot="1" x14ac:dyDescent="0.3">
      <c r="A3823" s="12" t="s">
        <v>42</v>
      </c>
      <c r="B3823" s="12" t="s">
        <v>43</v>
      </c>
      <c r="C3823" s="12" t="s">
        <v>44</v>
      </c>
      <c r="D3823" s="12" t="s">
        <v>45</v>
      </c>
      <c r="E3823" s="12" t="s">
        <v>46</v>
      </c>
      <c r="F3823" s="12" t="s">
        <v>47</v>
      </c>
    </row>
    <row r="3824" spans="1:6" x14ac:dyDescent="0.25">
      <c r="A3824" s="8">
        <v>49161608</v>
      </c>
      <c r="B3824" s="9" t="str">
        <f t="shared" ref="B3824:B3841" ca="1" si="51">IFERROR(INDEX(UNSPSCDes,MATCH(INDIRECT(ADDRESS(ROW(),COLUMN()-1,4)),UNSPSCCode,0)),"")</f>
        <v>Balones de voleibol</v>
      </c>
      <c r="C3824" s="33" t="s">
        <v>55</v>
      </c>
      <c r="D3824" s="8">
        <v>100</v>
      </c>
      <c r="E3824" s="11">
        <v>1593</v>
      </c>
      <c r="F3824" s="10">
        <f t="shared" ref="F3824:F3841" ca="1" si="52">INDIRECT(ADDRESS(ROW(),COLUMN()-2,4))*INDIRECT(ADDRESS(ROW(),COLUMN()-1,4))</f>
        <v>159300</v>
      </c>
    </row>
    <row r="3825" spans="1:6" x14ac:dyDescent="0.25">
      <c r="A3825" s="8">
        <v>49161603</v>
      </c>
      <c r="B3825" s="9" t="str">
        <f t="shared" ca="1" si="51"/>
        <v>Pelotas de básquetbol</v>
      </c>
      <c r="C3825" s="33" t="s">
        <v>55</v>
      </c>
      <c r="D3825" s="8">
        <v>30</v>
      </c>
      <c r="E3825" s="11">
        <v>1640</v>
      </c>
      <c r="F3825" s="10">
        <f t="shared" ca="1" si="52"/>
        <v>49200</v>
      </c>
    </row>
    <row r="3826" spans="1:6" x14ac:dyDescent="0.25">
      <c r="A3826" s="8">
        <v>49161603</v>
      </c>
      <c r="B3826" s="9" t="str">
        <f t="shared" ca="1" si="51"/>
        <v>Pelotas de básquetbol</v>
      </c>
      <c r="C3826" s="33" t="s">
        <v>55</v>
      </c>
      <c r="D3826" s="8">
        <v>100</v>
      </c>
      <c r="E3826" s="11">
        <v>1593</v>
      </c>
      <c r="F3826" s="10">
        <f t="shared" ca="1" si="52"/>
        <v>159300</v>
      </c>
    </row>
    <row r="3827" spans="1:6" x14ac:dyDescent="0.25">
      <c r="A3827" s="8">
        <v>49161503</v>
      </c>
      <c r="B3827" s="9" t="str">
        <f t="shared" ca="1" si="51"/>
        <v>Pelotas de beisbol</v>
      </c>
      <c r="C3827" s="33" t="s">
        <v>55</v>
      </c>
      <c r="D3827" s="8">
        <v>100</v>
      </c>
      <c r="E3827" s="11">
        <v>425</v>
      </c>
      <c r="F3827" s="10">
        <f t="shared" ca="1" si="52"/>
        <v>42500</v>
      </c>
    </row>
    <row r="3828" spans="1:6" x14ac:dyDescent="0.25">
      <c r="A3828" s="8">
        <v>49161509</v>
      </c>
      <c r="B3828" s="9" t="str">
        <f t="shared" ca="1" si="51"/>
        <v>Balones de softbol</v>
      </c>
      <c r="C3828" s="33" t="s">
        <v>55</v>
      </c>
      <c r="D3828" s="8">
        <v>100</v>
      </c>
      <c r="E3828" s="11">
        <v>477.9</v>
      </c>
      <c r="F3828" s="10">
        <f t="shared" ca="1" si="52"/>
        <v>47790</v>
      </c>
    </row>
    <row r="3829" spans="1:6" x14ac:dyDescent="0.25">
      <c r="A3829" s="8">
        <v>49161504</v>
      </c>
      <c r="B3829" s="9" t="str">
        <f t="shared" ca="1" si="51"/>
        <v>Balones de futbol</v>
      </c>
      <c r="C3829" s="33" t="s">
        <v>55</v>
      </c>
      <c r="D3829" s="8">
        <v>50</v>
      </c>
      <c r="E3829" s="11">
        <v>1593</v>
      </c>
      <c r="F3829" s="10">
        <f t="shared" ca="1" si="52"/>
        <v>79650</v>
      </c>
    </row>
    <row r="3830" spans="1:6" x14ac:dyDescent="0.25">
      <c r="A3830" s="8">
        <v>49161504</v>
      </c>
      <c r="B3830" s="9" t="str">
        <f t="shared" ca="1" si="51"/>
        <v>Balones de futbol</v>
      </c>
      <c r="C3830" s="33" t="s">
        <v>55</v>
      </c>
      <c r="D3830" s="8">
        <v>60</v>
      </c>
      <c r="E3830" s="11">
        <v>1593</v>
      </c>
      <c r="F3830" s="10">
        <f t="shared" ca="1" si="52"/>
        <v>95580</v>
      </c>
    </row>
    <row r="3831" spans="1:6" x14ac:dyDescent="0.25">
      <c r="A3831" s="8">
        <v>49221502</v>
      </c>
      <c r="B3831" s="9" t="str">
        <f t="shared" ca="1" si="51"/>
        <v>Porterías</v>
      </c>
      <c r="C3831" s="33" t="s">
        <v>55</v>
      </c>
      <c r="D3831" s="8">
        <v>30</v>
      </c>
      <c r="E3831" s="11">
        <v>1416</v>
      </c>
      <c r="F3831" s="10">
        <f t="shared" ca="1" si="52"/>
        <v>42480</v>
      </c>
    </row>
    <row r="3832" spans="1:6" x14ac:dyDescent="0.25">
      <c r="A3832" s="8">
        <v>49181509</v>
      </c>
      <c r="B3832" s="9" t="str">
        <f t="shared" ca="1" si="51"/>
        <v>Bolas de ping pong</v>
      </c>
      <c r="C3832" s="33" t="s">
        <v>55</v>
      </c>
      <c r="D3832" s="8">
        <v>100</v>
      </c>
      <c r="E3832" s="11">
        <v>94.4</v>
      </c>
      <c r="F3832" s="10">
        <f t="shared" ca="1" si="52"/>
        <v>9440</v>
      </c>
    </row>
    <row r="3833" spans="1:6" x14ac:dyDescent="0.25">
      <c r="A3833" s="8">
        <v>49161603</v>
      </c>
      <c r="B3833" s="9" t="str">
        <f t="shared" ca="1" si="51"/>
        <v>Pelotas de básquetbol</v>
      </c>
      <c r="C3833" s="33" t="s">
        <v>55</v>
      </c>
      <c r="D3833" s="8">
        <v>50</v>
      </c>
      <c r="E3833" s="11">
        <v>2950</v>
      </c>
      <c r="F3833" s="10">
        <f t="shared" ca="1" si="52"/>
        <v>147500</v>
      </c>
    </row>
    <row r="3834" spans="1:6" x14ac:dyDescent="0.25">
      <c r="A3834" s="8">
        <v>49161603</v>
      </c>
      <c r="B3834" s="9" t="str">
        <f t="shared" ca="1" si="51"/>
        <v>Pelotas de básquetbol</v>
      </c>
      <c r="C3834" s="33" t="s">
        <v>55</v>
      </c>
      <c r="D3834" s="8">
        <v>25</v>
      </c>
      <c r="E3834" s="11">
        <v>3304</v>
      </c>
      <c r="F3834" s="10">
        <f t="shared" ca="1" si="52"/>
        <v>82600</v>
      </c>
    </row>
    <row r="3835" spans="1:6" x14ac:dyDescent="0.25">
      <c r="A3835" s="8">
        <v>49161503</v>
      </c>
      <c r="B3835" s="9" t="str">
        <f t="shared" ca="1" si="51"/>
        <v>Pelotas de beisbol</v>
      </c>
      <c r="C3835" s="33" t="s">
        <v>55</v>
      </c>
      <c r="D3835" s="8">
        <v>25</v>
      </c>
      <c r="E3835" s="11">
        <v>295</v>
      </c>
      <c r="F3835" s="10">
        <f t="shared" ca="1" si="52"/>
        <v>7375</v>
      </c>
    </row>
    <row r="3836" spans="1:6" x14ac:dyDescent="0.25">
      <c r="A3836" s="8">
        <v>49221507</v>
      </c>
      <c r="B3836" s="9" t="str">
        <f t="shared" ca="1" si="51"/>
        <v>Tableros de basquetbol</v>
      </c>
      <c r="C3836" s="33" t="s">
        <v>55</v>
      </c>
      <c r="D3836" s="8">
        <v>10</v>
      </c>
      <c r="E3836" s="11">
        <v>41300</v>
      </c>
      <c r="F3836" s="10">
        <f t="shared" ca="1" si="52"/>
        <v>413000</v>
      </c>
    </row>
    <row r="3837" spans="1:6" x14ac:dyDescent="0.25">
      <c r="A3837" s="8">
        <v>49221505</v>
      </c>
      <c r="B3837" s="9" t="str">
        <f t="shared" ca="1" si="51"/>
        <v>Mallas o redes para deportes</v>
      </c>
      <c r="C3837" s="33" t="s">
        <v>55</v>
      </c>
      <c r="D3837" s="8">
        <v>25</v>
      </c>
      <c r="E3837" s="11">
        <v>241.9</v>
      </c>
      <c r="F3837" s="10">
        <f t="shared" ca="1" si="52"/>
        <v>6047.5</v>
      </c>
    </row>
    <row r="3838" spans="1:6" x14ac:dyDescent="0.25">
      <c r="A3838" s="8">
        <v>49161506</v>
      </c>
      <c r="B3838" s="9" t="str">
        <f t="shared" ca="1" si="51"/>
        <v>Bates de beisbol</v>
      </c>
      <c r="C3838" s="33" t="s">
        <v>55</v>
      </c>
      <c r="D3838" s="8">
        <v>25</v>
      </c>
      <c r="E3838" s="11">
        <v>5074</v>
      </c>
      <c r="F3838" s="10">
        <f t="shared" ca="1" si="52"/>
        <v>126850</v>
      </c>
    </row>
    <row r="3839" spans="1:6" x14ac:dyDescent="0.25">
      <c r="A3839" s="8">
        <v>49161520</v>
      </c>
      <c r="B3839" s="9" t="str">
        <f t="shared" ca="1" si="51"/>
        <v>Bates de softbol</v>
      </c>
      <c r="C3839" s="33" t="s">
        <v>55</v>
      </c>
      <c r="D3839" s="8">
        <v>10</v>
      </c>
      <c r="E3839" s="11">
        <v>4277.5</v>
      </c>
      <c r="F3839" s="10">
        <f t="shared" ca="1" si="52"/>
        <v>42775</v>
      </c>
    </row>
    <row r="3840" spans="1:6" x14ac:dyDescent="0.25">
      <c r="A3840" s="8">
        <v>49161608</v>
      </c>
      <c r="B3840" s="9" t="str">
        <f t="shared" ca="1" si="51"/>
        <v>Balones de voleibol</v>
      </c>
      <c r="C3840" s="33" t="s">
        <v>55</v>
      </c>
      <c r="D3840" s="8">
        <v>50</v>
      </c>
      <c r="E3840" s="11">
        <v>1800</v>
      </c>
      <c r="F3840" s="10">
        <f t="shared" ca="1" si="52"/>
        <v>90000</v>
      </c>
    </row>
    <row r="3841" spans="1:6" x14ac:dyDescent="0.25">
      <c r="A3841" s="8">
        <v>49161506</v>
      </c>
      <c r="B3841" s="9" t="str">
        <f t="shared" ca="1" si="51"/>
        <v>Bates de beisbol</v>
      </c>
      <c r="C3841" s="33" t="s">
        <v>55</v>
      </c>
      <c r="D3841" s="8">
        <v>15</v>
      </c>
      <c r="E3841" s="11">
        <v>4074</v>
      </c>
      <c r="F3841" s="10">
        <f t="shared" ca="1" si="52"/>
        <v>61110</v>
      </c>
    </row>
    <row r="3842" spans="1:6" x14ac:dyDescent="0.25">
      <c r="A3842" s="40"/>
      <c r="B3842" s="40"/>
      <c r="C3842" s="40"/>
      <c r="D3842" s="40"/>
      <c r="E3842" s="13" t="s">
        <v>87</v>
      </c>
      <c r="F3842" s="14">
        <f ca="1">SUM(Table3152[MONTO TOTAL ESTIMADO])</f>
        <v>1662497.5</v>
      </c>
    </row>
    <row r="3843" spans="1:6" ht="15.75" thickBot="1" x14ac:dyDescent="0.3">
      <c r="A3843" s="42"/>
      <c r="B3843" s="42"/>
      <c r="C3843" s="42"/>
      <c r="D3843" s="42"/>
      <c r="E3843" s="42"/>
      <c r="F3843" s="42"/>
    </row>
    <row r="3844" spans="1:6" ht="23.25" thickBot="1" x14ac:dyDescent="0.3">
      <c r="A3844" s="4" t="s">
        <v>19</v>
      </c>
      <c r="B3844" s="4" t="s">
        <v>20</v>
      </c>
      <c r="C3844" s="4" t="s">
        <v>21</v>
      </c>
      <c r="D3844" s="4" t="s">
        <v>22</v>
      </c>
      <c r="E3844" s="4" t="s">
        <v>23</v>
      </c>
      <c r="F3844" s="4" t="s">
        <v>24</v>
      </c>
    </row>
    <row r="3845" spans="1:6" ht="15.75" thickBot="1" x14ac:dyDescent="0.3">
      <c r="A3845" s="32" t="s">
        <v>533</v>
      </c>
      <c r="B3845" s="32" t="s">
        <v>534</v>
      </c>
      <c r="C3845" s="32" t="s">
        <v>27</v>
      </c>
      <c r="D3845" s="6" t="s">
        <v>28</v>
      </c>
      <c r="E3845" s="6" t="s">
        <v>262</v>
      </c>
      <c r="F3845" s="6"/>
    </row>
    <row r="3846" spans="1:6" ht="15.75" thickBot="1" x14ac:dyDescent="0.3">
      <c r="A3846" s="35" t="s">
        <v>31</v>
      </c>
      <c r="B3846" s="7" t="s">
        <v>32</v>
      </c>
      <c r="C3846" s="15">
        <v>45383</v>
      </c>
      <c r="D3846" s="35" t="s">
        <v>33</v>
      </c>
      <c r="E3846" s="7" t="s">
        <v>34</v>
      </c>
      <c r="F3846" s="6"/>
    </row>
    <row r="3847" spans="1:6" ht="15.75" thickBot="1" x14ac:dyDescent="0.3">
      <c r="A3847" s="36"/>
      <c r="B3847" s="7" t="s">
        <v>36</v>
      </c>
      <c r="C3847" s="5">
        <f>IF(C3846="","",IF(AND(MONTH(C3846)&gt;=1,MONTH(C3846)&lt;=3),1,IF(AND(MONTH(C3846)&gt;=4,MONTH(C3846)&lt;=6),2,IF(AND(MONTH(C3846)&gt;=7,MONTH(C3846)&lt;=9),3,4))))</f>
        <v>2</v>
      </c>
      <c r="D3847" s="36"/>
      <c r="E3847" s="7" t="s">
        <v>37</v>
      </c>
      <c r="F3847" s="6"/>
    </row>
    <row r="3848" spans="1:6" ht="15.75" thickBot="1" x14ac:dyDescent="0.3">
      <c r="A3848" s="36"/>
      <c r="B3848" s="7" t="s">
        <v>39</v>
      </c>
      <c r="C3848" s="15">
        <v>45473</v>
      </c>
      <c r="D3848" s="36"/>
      <c r="E3848" s="7" t="s">
        <v>40</v>
      </c>
      <c r="F3848" s="6"/>
    </row>
    <row r="3849" spans="1:6" ht="15.75" thickBot="1" x14ac:dyDescent="0.3">
      <c r="A3849" s="36"/>
      <c r="B3849" s="7" t="s">
        <v>36</v>
      </c>
      <c r="C3849" s="5">
        <f>IF(C3848="","",IF(AND(MONTH(C3848)&gt;=1,MONTH(C3848)&lt;=3),1,IF(AND(MONTH(C3848)&gt;=4,MONTH(C3848)&lt;=6),2,IF(AND(MONTH(C3848)&gt;=7,MONTH(C3848)&lt;=9),3,4))))</f>
        <v>2</v>
      </c>
      <c r="D3849" s="36"/>
      <c r="E3849" s="7" t="s">
        <v>41</v>
      </c>
      <c r="F3849" s="6"/>
    </row>
    <row r="3850" spans="1:6" ht="15.75" thickBot="1" x14ac:dyDescent="0.3">
      <c r="A3850" s="40"/>
      <c r="B3850" s="40"/>
      <c r="C3850" s="40"/>
      <c r="D3850" s="40"/>
      <c r="E3850" s="40"/>
      <c r="F3850" s="40"/>
    </row>
    <row r="3851" spans="1:6" ht="15.75" thickBot="1" x14ac:dyDescent="0.3">
      <c r="A3851" s="12" t="s">
        <v>42</v>
      </c>
      <c r="B3851" s="12" t="s">
        <v>43</v>
      </c>
      <c r="C3851" s="12" t="s">
        <v>44</v>
      </c>
      <c r="D3851" s="12" t="s">
        <v>45</v>
      </c>
      <c r="E3851" s="12" t="s">
        <v>46</v>
      </c>
      <c r="F3851" s="12" t="s">
        <v>47</v>
      </c>
    </row>
    <row r="3852" spans="1:6" x14ac:dyDescent="0.25">
      <c r="A3852" s="8">
        <v>50202301</v>
      </c>
      <c r="B3852" s="9" t="str">
        <f ca="1">IFERROR(INDEX(UNSPSCDes,MATCH(INDIRECT(ADDRESS(ROW(),COLUMN()-1,4)),UNSPSCCode,0)),"")</f>
        <v>Agua</v>
      </c>
      <c r="C3852" s="33" t="s">
        <v>55</v>
      </c>
      <c r="D3852" s="8">
        <v>10000</v>
      </c>
      <c r="E3852" s="11">
        <v>160</v>
      </c>
      <c r="F3852" s="10">
        <f ca="1">INDIRECT(ADDRESS(ROW(),COLUMN()-2,4))*INDIRECT(ADDRESS(ROW(),COLUMN()-1,4))</f>
        <v>1600000</v>
      </c>
    </row>
    <row r="3853" spans="1:6" x14ac:dyDescent="0.25">
      <c r="A3853" s="40"/>
      <c r="B3853" s="40"/>
      <c r="C3853" s="40"/>
      <c r="D3853" s="40"/>
      <c r="E3853" s="13" t="s">
        <v>87</v>
      </c>
      <c r="F3853" s="14">
        <f ca="1">SUM(Table3153[MONTO TOTAL ESTIMADO])</f>
        <v>1600000</v>
      </c>
    </row>
    <row r="3854" spans="1:6" ht="15.75" thickBot="1" x14ac:dyDescent="0.3">
      <c r="A3854" s="42"/>
      <c r="B3854" s="42"/>
      <c r="C3854" s="42"/>
      <c r="D3854" s="42"/>
      <c r="E3854" s="42"/>
      <c r="F3854" s="42"/>
    </row>
    <row r="3855" spans="1:6" ht="23.25" thickBot="1" x14ac:dyDescent="0.3">
      <c r="A3855" s="4" t="s">
        <v>19</v>
      </c>
      <c r="B3855" s="4" t="s">
        <v>20</v>
      </c>
      <c r="C3855" s="4" t="s">
        <v>21</v>
      </c>
      <c r="D3855" s="4" t="s">
        <v>22</v>
      </c>
      <c r="E3855" s="4" t="s">
        <v>23</v>
      </c>
      <c r="F3855" s="4" t="s">
        <v>24</v>
      </c>
    </row>
    <row r="3856" spans="1:6" ht="15.75" thickBot="1" x14ac:dyDescent="0.3">
      <c r="A3856" s="32" t="s">
        <v>510</v>
      </c>
      <c r="B3856" s="32" t="s">
        <v>511</v>
      </c>
      <c r="C3856" s="32" t="s">
        <v>27</v>
      </c>
      <c r="D3856" s="6" t="s">
        <v>28</v>
      </c>
      <c r="E3856" s="6" t="s">
        <v>262</v>
      </c>
      <c r="F3856" s="6"/>
    </row>
    <row r="3857" spans="1:6" ht="15.75" thickBot="1" x14ac:dyDescent="0.3">
      <c r="A3857" s="35" t="s">
        <v>31</v>
      </c>
      <c r="B3857" s="7" t="s">
        <v>32</v>
      </c>
      <c r="C3857" s="15">
        <v>45383</v>
      </c>
      <c r="D3857" s="35" t="s">
        <v>33</v>
      </c>
      <c r="E3857" s="7" t="s">
        <v>34</v>
      </c>
      <c r="F3857" s="6"/>
    </row>
    <row r="3858" spans="1:6" ht="15.75" thickBot="1" x14ac:dyDescent="0.3">
      <c r="A3858" s="36"/>
      <c r="B3858" s="7" t="s">
        <v>36</v>
      </c>
      <c r="C3858" s="5">
        <f>IF(C3857="","",IF(AND(MONTH(C3857)&gt;=1,MONTH(C3857)&lt;=3),1,IF(AND(MONTH(C3857)&gt;=4,MONTH(C3857)&lt;=6),2,IF(AND(MONTH(C3857)&gt;=7,MONTH(C3857)&lt;=9),3,4))))</f>
        <v>2</v>
      </c>
      <c r="D3858" s="36"/>
      <c r="E3858" s="7" t="s">
        <v>37</v>
      </c>
      <c r="F3858" s="6"/>
    </row>
    <row r="3859" spans="1:6" ht="15.75" thickBot="1" x14ac:dyDescent="0.3">
      <c r="A3859" s="36"/>
      <c r="B3859" s="7" t="s">
        <v>39</v>
      </c>
      <c r="C3859" s="15">
        <v>45473</v>
      </c>
      <c r="D3859" s="36"/>
      <c r="E3859" s="7" t="s">
        <v>40</v>
      </c>
      <c r="F3859" s="6"/>
    </row>
    <row r="3860" spans="1:6" ht="15.75" thickBot="1" x14ac:dyDescent="0.3">
      <c r="A3860" s="36"/>
      <c r="B3860" s="7" t="s">
        <v>36</v>
      </c>
      <c r="C3860" s="5">
        <f>IF(C3859="","",IF(AND(MONTH(C3859)&gt;=1,MONTH(C3859)&lt;=3),1,IF(AND(MONTH(C3859)&gt;=4,MONTH(C3859)&lt;=6),2,IF(AND(MONTH(C3859)&gt;=7,MONTH(C3859)&lt;=9),3,4))))</f>
        <v>2</v>
      </c>
      <c r="D3860" s="36"/>
      <c r="E3860" s="7" t="s">
        <v>41</v>
      </c>
      <c r="F3860" s="6"/>
    </row>
    <row r="3861" spans="1:6" ht="15.75" thickBot="1" x14ac:dyDescent="0.3">
      <c r="A3861" s="40"/>
      <c r="B3861" s="40"/>
      <c r="C3861" s="40"/>
      <c r="D3861" s="40"/>
      <c r="E3861" s="40"/>
      <c r="F3861" s="40"/>
    </row>
    <row r="3862" spans="1:6" ht="15.75" thickBot="1" x14ac:dyDescent="0.3">
      <c r="A3862" s="12" t="s">
        <v>42</v>
      </c>
      <c r="B3862" s="12" t="s">
        <v>43</v>
      </c>
      <c r="C3862" s="12" t="s">
        <v>44</v>
      </c>
      <c r="D3862" s="12" t="s">
        <v>45</v>
      </c>
      <c r="E3862" s="12" t="s">
        <v>46</v>
      </c>
      <c r="F3862" s="12" t="s">
        <v>47</v>
      </c>
    </row>
    <row r="3863" spans="1:6" x14ac:dyDescent="0.25">
      <c r="A3863" s="8">
        <v>49161608</v>
      </c>
      <c r="B3863" s="9" t="str">
        <f t="shared" ref="B3863:B3880" ca="1" si="53">IFERROR(INDEX(UNSPSCDes,MATCH(INDIRECT(ADDRESS(ROW(),COLUMN()-1,4)),UNSPSCCode,0)),"")</f>
        <v>Balones de voleibol</v>
      </c>
      <c r="C3863" s="33" t="s">
        <v>55</v>
      </c>
      <c r="D3863" s="8">
        <v>100</v>
      </c>
      <c r="E3863" s="11">
        <v>1593</v>
      </c>
      <c r="F3863" s="10">
        <f t="shared" ref="F3863:F3880" ca="1" si="54">INDIRECT(ADDRESS(ROW(),COLUMN()-2,4))*INDIRECT(ADDRESS(ROW(),COLUMN()-1,4))</f>
        <v>159300</v>
      </c>
    </row>
    <row r="3864" spans="1:6" x14ac:dyDescent="0.25">
      <c r="A3864" s="8">
        <v>49161603</v>
      </c>
      <c r="B3864" s="9" t="str">
        <f t="shared" ca="1" si="53"/>
        <v>Pelotas de básquetbol</v>
      </c>
      <c r="C3864" s="33" t="s">
        <v>55</v>
      </c>
      <c r="D3864" s="8">
        <v>30</v>
      </c>
      <c r="E3864" s="11">
        <v>1640</v>
      </c>
      <c r="F3864" s="10">
        <f t="shared" ca="1" si="54"/>
        <v>49200</v>
      </c>
    </row>
    <row r="3865" spans="1:6" x14ac:dyDescent="0.25">
      <c r="A3865" s="8">
        <v>49161603</v>
      </c>
      <c r="B3865" s="9" t="str">
        <f t="shared" ca="1" si="53"/>
        <v>Pelotas de básquetbol</v>
      </c>
      <c r="C3865" s="33" t="s">
        <v>55</v>
      </c>
      <c r="D3865" s="8">
        <v>100</v>
      </c>
      <c r="E3865" s="11">
        <v>1593</v>
      </c>
      <c r="F3865" s="10">
        <f t="shared" ca="1" si="54"/>
        <v>159300</v>
      </c>
    </row>
    <row r="3866" spans="1:6" x14ac:dyDescent="0.25">
      <c r="A3866" s="8">
        <v>49161503</v>
      </c>
      <c r="B3866" s="9" t="str">
        <f t="shared" ca="1" si="53"/>
        <v>Pelotas de beisbol</v>
      </c>
      <c r="C3866" s="33" t="s">
        <v>55</v>
      </c>
      <c r="D3866" s="8">
        <v>100</v>
      </c>
      <c r="E3866" s="11">
        <v>425</v>
      </c>
      <c r="F3866" s="10">
        <f t="shared" ca="1" si="54"/>
        <v>42500</v>
      </c>
    </row>
    <row r="3867" spans="1:6" x14ac:dyDescent="0.25">
      <c r="A3867" s="8">
        <v>49161509</v>
      </c>
      <c r="B3867" s="9" t="str">
        <f t="shared" ca="1" si="53"/>
        <v>Balones de softbol</v>
      </c>
      <c r="C3867" s="33" t="s">
        <v>55</v>
      </c>
      <c r="D3867" s="8">
        <v>100</v>
      </c>
      <c r="E3867" s="11">
        <v>477.9</v>
      </c>
      <c r="F3867" s="10">
        <f t="shared" ca="1" si="54"/>
        <v>47790</v>
      </c>
    </row>
    <row r="3868" spans="1:6" x14ac:dyDescent="0.25">
      <c r="A3868" s="8">
        <v>49161504</v>
      </c>
      <c r="B3868" s="9" t="str">
        <f t="shared" ca="1" si="53"/>
        <v>Balones de futbol</v>
      </c>
      <c r="C3868" s="33" t="s">
        <v>55</v>
      </c>
      <c r="D3868" s="8">
        <v>50</v>
      </c>
      <c r="E3868" s="11">
        <v>1593</v>
      </c>
      <c r="F3868" s="10">
        <f t="shared" ca="1" si="54"/>
        <v>79650</v>
      </c>
    </row>
    <row r="3869" spans="1:6" x14ac:dyDescent="0.25">
      <c r="A3869" s="8">
        <v>49161504</v>
      </c>
      <c r="B3869" s="9" t="str">
        <f t="shared" ca="1" si="53"/>
        <v>Balones de futbol</v>
      </c>
      <c r="C3869" s="33" t="s">
        <v>55</v>
      </c>
      <c r="D3869" s="8">
        <v>60</v>
      </c>
      <c r="E3869" s="11">
        <v>1593</v>
      </c>
      <c r="F3869" s="10">
        <f t="shared" ca="1" si="54"/>
        <v>95580</v>
      </c>
    </row>
    <row r="3870" spans="1:6" x14ac:dyDescent="0.25">
      <c r="A3870" s="8">
        <v>49221502</v>
      </c>
      <c r="B3870" s="9" t="str">
        <f t="shared" ca="1" si="53"/>
        <v>Porterías</v>
      </c>
      <c r="C3870" s="33" t="s">
        <v>55</v>
      </c>
      <c r="D3870" s="8">
        <v>30</v>
      </c>
      <c r="E3870" s="11">
        <v>1416</v>
      </c>
      <c r="F3870" s="10">
        <f t="shared" ca="1" si="54"/>
        <v>42480</v>
      </c>
    </row>
    <row r="3871" spans="1:6" x14ac:dyDescent="0.25">
      <c r="A3871" s="8">
        <v>49181509</v>
      </c>
      <c r="B3871" s="9" t="str">
        <f t="shared" ca="1" si="53"/>
        <v>Bolas de ping pong</v>
      </c>
      <c r="C3871" s="33" t="s">
        <v>55</v>
      </c>
      <c r="D3871" s="8">
        <v>100</v>
      </c>
      <c r="E3871" s="11">
        <v>94.4</v>
      </c>
      <c r="F3871" s="10">
        <f t="shared" ca="1" si="54"/>
        <v>9440</v>
      </c>
    </row>
    <row r="3872" spans="1:6" x14ac:dyDescent="0.25">
      <c r="A3872" s="8">
        <v>49161603</v>
      </c>
      <c r="B3872" s="9" t="str">
        <f t="shared" ca="1" si="53"/>
        <v>Pelotas de básquetbol</v>
      </c>
      <c r="C3872" s="33" t="s">
        <v>55</v>
      </c>
      <c r="D3872" s="8">
        <v>50</v>
      </c>
      <c r="E3872" s="11">
        <v>2950</v>
      </c>
      <c r="F3872" s="10">
        <f t="shared" ca="1" si="54"/>
        <v>147500</v>
      </c>
    </row>
    <row r="3873" spans="1:6" x14ac:dyDescent="0.25">
      <c r="A3873" s="8">
        <v>49161603</v>
      </c>
      <c r="B3873" s="9" t="str">
        <f t="shared" ca="1" si="53"/>
        <v>Pelotas de básquetbol</v>
      </c>
      <c r="C3873" s="33" t="s">
        <v>55</v>
      </c>
      <c r="D3873" s="8">
        <v>25</v>
      </c>
      <c r="E3873" s="11">
        <v>3304</v>
      </c>
      <c r="F3873" s="10">
        <f t="shared" ca="1" si="54"/>
        <v>82600</v>
      </c>
    </row>
    <row r="3874" spans="1:6" x14ac:dyDescent="0.25">
      <c r="A3874" s="8">
        <v>49161503</v>
      </c>
      <c r="B3874" s="9" t="str">
        <f t="shared" ca="1" si="53"/>
        <v>Pelotas de beisbol</v>
      </c>
      <c r="C3874" s="33" t="s">
        <v>55</v>
      </c>
      <c r="D3874" s="8">
        <v>25</v>
      </c>
      <c r="E3874" s="11">
        <v>295</v>
      </c>
      <c r="F3874" s="10">
        <f t="shared" ca="1" si="54"/>
        <v>7375</v>
      </c>
    </row>
    <row r="3875" spans="1:6" x14ac:dyDescent="0.25">
      <c r="A3875" s="8">
        <v>49221507</v>
      </c>
      <c r="B3875" s="9" t="str">
        <f t="shared" ca="1" si="53"/>
        <v>Tableros de basquetbol</v>
      </c>
      <c r="C3875" s="33" t="s">
        <v>55</v>
      </c>
      <c r="D3875" s="8">
        <v>10</v>
      </c>
      <c r="E3875" s="11">
        <v>41300</v>
      </c>
      <c r="F3875" s="10">
        <f t="shared" ca="1" si="54"/>
        <v>413000</v>
      </c>
    </row>
    <row r="3876" spans="1:6" x14ac:dyDescent="0.25">
      <c r="A3876" s="8">
        <v>49221505</v>
      </c>
      <c r="B3876" s="9" t="str">
        <f t="shared" ca="1" si="53"/>
        <v>Mallas o redes para deportes</v>
      </c>
      <c r="C3876" s="33" t="s">
        <v>55</v>
      </c>
      <c r="D3876" s="8">
        <v>25</v>
      </c>
      <c r="E3876" s="11">
        <v>241.9</v>
      </c>
      <c r="F3876" s="10">
        <f t="shared" ca="1" si="54"/>
        <v>6047.5</v>
      </c>
    </row>
    <row r="3877" spans="1:6" x14ac:dyDescent="0.25">
      <c r="A3877" s="8">
        <v>49161506</v>
      </c>
      <c r="B3877" s="9" t="str">
        <f t="shared" ca="1" si="53"/>
        <v>Bates de beisbol</v>
      </c>
      <c r="C3877" s="33" t="s">
        <v>55</v>
      </c>
      <c r="D3877" s="8">
        <v>25</v>
      </c>
      <c r="E3877" s="11">
        <v>5074</v>
      </c>
      <c r="F3877" s="10">
        <f t="shared" ca="1" si="54"/>
        <v>126850</v>
      </c>
    </row>
    <row r="3878" spans="1:6" x14ac:dyDescent="0.25">
      <c r="A3878" s="8">
        <v>49161520</v>
      </c>
      <c r="B3878" s="9" t="str">
        <f t="shared" ca="1" si="53"/>
        <v>Bates de softbol</v>
      </c>
      <c r="C3878" s="33" t="s">
        <v>55</v>
      </c>
      <c r="D3878" s="8">
        <v>10</v>
      </c>
      <c r="E3878" s="11">
        <v>4277.5</v>
      </c>
      <c r="F3878" s="10">
        <f t="shared" ca="1" si="54"/>
        <v>42775</v>
      </c>
    </row>
    <row r="3879" spans="1:6" x14ac:dyDescent="0.25">
      <c r="A3879" s="8">
        <v>49161608</v>
      </c>
      <c r="B3879" s="9" t="str">
        <f t="shared" ca="1" si="53"/>
        <v>Balones de voleibol</v>
      </c>
      <c r="C3879" s="33" t="s">
        <v>55</v>
      </c>
      <c r="D3879" s="8">
        <v>50</v>
      </c>
      <c r="E3879" s="11">
        <v>1800</v>
      </c>
      <c r="F3879" s="10">
        <f t="shared" ca="1" si="54"/>
        <v>90000</v>
      </c>
    </row>
    <row r="3880" spans="1:6" x14ac:dyDescent="0.25">
      <c r="A3880" s="8">
        <v>49161506</v>
      </c>
      <c r="B3880" s="9" t="str">
        <f t="shared" ca="1" si="53"/>
        <v>Bates de beisbol</v>
      </c>
      <c r="C3880" s="33" t="s">
        <v>55</v>
      </c>
      <c r="D3880" s="8">
        <v>15</v>
      </c>
      <c r="E3880" s="11">
        <v>4074</v>
      </c>
      <c r="F3880" s="10">
        <f t="shared" ca="1" si="54"/>
        <v>61110</v>
      </c>
    </row>
    <row r="3881" spans="1:6" x14ac:dyDescent="0.25">
      <c r="A3881" s="40"/>
      <c r="B3881" s="40"/>
      <c r="C3881" s="40"/>
      <c r="D3881" s="40"/>
      <c r="E3881" s="13" t="s">
        <v>87</v>
      </c>
      <c r="F3881" s="14">
        <f ca="1">SUM(Table3154[MONTO TOTAL ESTIMADO])</f>
        <v>1662497.5</v>
      </c>
    </row>
    <row r="3882" spans="1:6" ht="15.75" thickBot="1" x14ac:dyDescent="0.3">
      <c r="A3882" s="42"/>
      <c r="B3882" s="42"/>
      <c r="C3882" s="42"/>
      <c r="D3882" s="42"/>
      <c r="E3882" s="42"/>
      <c r="F3882" s="42"/>
    </row>
    <row r="3883" spans="1:6" ht="23.25" thickBot="1" x14ac:dyDescent="0.3">
      <c r="A3883" s="4" t="s">
        <v>19</v>
      </c>
      <c r="B3883" s="4" t="s">
        <v>20</v>
      </c>
      <c r="C3883" s="4" t="s">
        <v>21</v>
      </c>
      <c r="D3883" s="4" t="s">
        <v>22</v>
      </c>
      <c r="E3883" s="4" t="s">
        <v>23</v>
      </c>
      <c r="F3883" s="4" t="s">
        <v>24</v>
      </c>
    </row>
    <row r="3884" spans="1:6" ht="15.75" thickBot="1" x14ac:dyDescent="0.3">
      <c r="A3884" s="32" t="s">
        <v>535</v>
      </c>
      <c r="B3884" s="32" t="s">
        <v>536</v>
      </c>
      <c r="C3884" s="32" t="s">
        <v>27</v>
      </c>
      <c r="D3884" s="6" t="s">
        <v>28</v>
      </c>
      <c r="E3884" s="6" t="s">
        <v>262</v>
      </c>
      <c r="F3884" s="6"/>
    </row>
    <row r="3885" spans="1:6" ht="15.75" thickBot="1" x14ac:dyDescent="0.3">
      <c r="A3885" s="35" t="s">
        <v>31</v>
      </c>
      <c r="B3885" s="7" t="s">
        <v>32</v>
      </c>
      <c r="C3885" s="15">
        <v>45383</v>
      </c>
      <c r="D3885" s="35" t="s">
        <v>33</v>
      </c>
      <c r="E3885" s="7" t="s">
        <v>34</v>
      </c>
      <c r="F3885" s="6"/>
    </row>
    <row r="3886" spans="1:6" ht="15.75" thickBot="1" x14ac:dyDescent="0.3">
      <c r="A3886" s="36"/>
      <c r="B3886" s="7" t="s">
        <v>36</v>
      </c>
      <c r="C3886" s="5">
        <f>IF(C3885="","",IF(AND(MONTH(C3885)&gt;=1,MONTH(C3885)&lt;=3),1,IF(AND(MONTH(C3885)&gt;=4,MONTH(C3885)&lt;=6),2,IF(AND(MONTH(C3885)&gt;=7,MONTH(C3885)&lt;=9),3,4))))</f>
        <v>2</v>
      </c>
      <c r="D3886" s="36"/>
      <c r="E3886" s="7" t="s">
        <v>37</v>
      </c>
      <c r="F3886" s="6"/>
    </row>
    <row r="3887" spans="1:6" ht="15.75" thickBot="1" x14ac:dyDescent="0.3">
      <c r="A3887" s="36"/>
      <c r="B3887" s="7" t="s">
        <v>39</v>
      </c>
      <c r="C3887" s="15">
        <v>45473</v>
      </c>
      <c r="D3887" s="36"/>
      <c r="E3887" s="7" t="s">
        <v>40</v>
      </c>
      <c r="F3887" s="6"/>
    </row>
    <row r="3888" spans="1:6" ht="15.75" thickBot="1" x14ac:dyDescent="0.3">
      <c r="A3888" s="36"/>
      <c r="B3888" s="7" t="s">
        <v>36</v>
      </c>
      <c r="C3888" s="5">
        <f>IF(C3887="","",IF(AND(MONTH(C3887)&gt;=1,MONTH(C3887)&lt;=3),1,IF(AND(MONTH(C3887)&gt;=4,MONTH(C3887)&lt;=6),2,IF(AND(MONTH(C3887)&gt;=7,MONTH(C3887)&lt;=9),3,4))))</f>
        <v>2</v>
      </c>
      <c r="D3888" s="36"/>
      <c r="E3888" s="7" t="s">
        <v>41</v>
      </c>
      <c r="F3888" s="6"/>
    </row>
    <row r="3889" spans="1:6" ht="15.75" thickBot="1" x14ac:dyDescent="0.3">
      <c r="A3889" s="40"/>
      <c r="B3889" s="40"/>
      <c r="C3889" s="40"/>
      <c r="D3889" s="40"/>
      <c r="E3889" s="40"/>
      <c r="F3889" s="40"/>
    </row>
    <row r="3890" spans="1:6" ht="15.75" thickBot="1" x14ac:dyDescent="0.3">
      <c r="A3890" s="12" t="s">
        <v>42</v>
      </c>
      <c r="B3890" s="12" t="s">
        <v>43</v>
      </c>
      <c r="C3890" s="12" t="s">
        <v>44</v>
      </c>
      <c r="D3890" s="12" t="s">
        <v>45</v>
      </c>
      <c r="E3890" s="12" t="s">
        <v>46</v>
      </c>
      <c r="F3890" s="12" t="s">
        <v>47</v>
      </c>
    </row>
    <row r="3891" spans="1:6" x14ac:dyDescent="0.25">
      <c r="A3891" s="8">
        <v>60101401</v>
      </c>
      <c r="B3891" s="9" t="str">
        <f ca="1">IFERROR(INDEX(UNSPSCDes,MATCH(INDIRECT(ADDRESS(ROW(),COLUMN()-1,4)),UNSPSCCode,0)),"")</f>
        <v>Insignias</v>
      </c>
      <c r="C3891" s="33" t="s">
        <v>55</v>
      </c>
      <c r="D3891" s="8">
        <v>1500</v>
      </c>
      <c r="E3891" s="11">
        <v>650</v>
      </c>
      <c r="F3891" s="10">
        <f ca="1">INDIRECT(ADDRESS(ROW(),COLUMN()-2,4))*INDIRECT(ADDRESS(ROW(),COLUMN()-1,4))</f>
        <v>975000</v>
      </c>
    </row>
    <row r="3892" spans="1:6" x14ac:dyDescent="0.25">
      <c r="A3892" s="8">
        <v>60101401</v>
      </c>
      <c r="B3892" s="9" t="str">
        <f ca="1">IFERROR(INDEX(UNSPSCDes,MATCH(INDIRECT(ADDRESS(ROW(),COLUMN()-1,4)),UNSPSCCode,0)),"")</f>
        <v>Insignias</v>
      </c>
      <c r="C3892" s="33" t="s">
        <v>55</v>
      </c>
      <c r="D3892" s="8">
        <v>1000</v>
      </c>
      <c r="E3892" s="11">
        <v>650</v>
      </c>
      <c r="F3892" s="10">
        <f ca="1">INDIRECT(ADDRESS(ROW(),COLUMN()-2,4))*INDIRECT(ADDRESS(ROW(),COLUMN()-1,4))</f>
        <v>650000</v>
      </c>
    </row>
    <row r="3893" spans="1:6" x14ac:dyDescent="0.25">
      <c r="A3893" s="40"/>
      <c r="B3893" s="40"/>
      <c r="C3893" s="40"/>
      <c r="D3893" s="40"/>
      <c r="E3893" s="13" t="s">
        <v>87</v>
      </c>
      <c r="F3893" s="14">
        <f ca="1">SUM(Table3155[MONTO TOTAL ESTIMADO])</f>
        <v>1625000</v>
      </c>
    </row>
    <row r="3894" spans="1:6" ht="15.75" thickBot="1" x14ac:dyDescent="0.3">
      <c r="A3894" s="42"/>
      <c r="B3894" s="42"/>
      <c r="C3894" s="42"/>
      <c r="D3894" s="42"/>
      <c r="E3894" s="42"/>
      <c r="F3894" s="42"/>
    </row>
    <row r="3895" spans="1:6" ht="23.25" thickBot="1" x14ac:dyDescent="0.3">
      <c r="A3895" s="4" t="s">
        <v>19</v>
      </c>
      <c r="B3895" s="4" t="s">
        <v>20</v>
      </c>
      <c r="C3895" s="4" t="s">
        <v>21</v>
      </c>
      <c r="D3895" s="4" t="s">
        <v>22</v>
      </c>
      <c r="E3895" s="4" t="s">
        <v>23</v>
      </c>
      <c r="F3895" s="4" t="s">
        <v>24</v>
      </c>
    </row>
    <row r="3896" spans="1:6" ht="15.75" thickBot="1" x14ac:dyDescent="0.3">
      <c r="A3896" s="32" t="s">
        <v>538</v>
      </c>
      <c r="B3896" s="32" t="s">
        <v>539</v>
      </c>
      <c r="C3896" s="32" t="s">
        <v>27</v>
      </c>
      <c r="D3896" s="6" t="s">
        <v>28</v>
      </c>
      <c r="E3896" s="6" t="s">
        <v>262</v>
      </c>
      <c r="F3896" s="6"/>
    </row>
    <row r="3897" spans="1:6" ht="15.75" thickBot="1" x14ac:dyDescent="0.3">
      <c r="A3897" s="35" t="s">
        <v>31</v>
      </c>
      <c r="B3897" s="7" t="s">
        <v>32</v>
      </c>
      <c r="C3897" s="15">
        <v>45383</v>
      </c>
      <c r="D3897" s="35" t="s">
        <v>33</v>
      </c>
      <c r="E3897" s="7" t="s">
        <v>34</v>
      </c>
      <c r="F3897" s="6"/>
    </row>
    <row r="3898" spans="1:6" ht="15.75" thickBot="1" x14ac:dyDescent="0.3">
      <c r="A3898" s="36"/>
      <c r="B3898" s="7" t="s">
        <v>36</v>
      </c>
      <c r="C3898" s="5">
        <f>IF(C3897="","",IF(AND(MONTH(C3897)&gt;=1,MONTH(C3897)&lt;=3),1,IF(AND(MONTH(C3897)&gt;=4,MONTH(C3897)&lt;=6),2,IF(AND(MONTH(C3897)&gt;=7,MONTH(C3897)&lt;=9),3,4))))</f>
        <v>2</v>
      </c>
      <c r="D3898" s="36"/>
      <c r="E3898" s="7" t="s">
        <v>37</v>
      </c>
      <c r="F3898" s="6"/>
    </row>
    <row r="3899" spans="1:6" ht="15.75" thickBot="1" x14ac:dyDescent="0.3">
      <c r="A3899" s="36"/>
      <c r="B3899" s="7" t="s">
        <v>39</v>
      </c>
      <c r="C3899" s="15">
        <v>45473</v>
      </c>
      <c r="D3899" s="36"/>
      <c r="E3899" s="7" t="s">
        <v>40</v>
      </c>
      <c r="F3899" s="6"/>
    </row>
    <row r="3900" spans="1:6" ht="15.75" thickBot="1" x14ac:dyDescent="0.3">
      <c r="A3900" s="36"/>
      <c r="B3900" s="7" t="s">
        <v>36</v>
      </c>
      <c r="C3900" s="5">
        <f>IF(C3899="","",IF(AND(MONTH(C3899)&gt;=1,MONTH(C3899)&lt;=3),1,IF(AND(MONTH(C3899)&gt;=4,MONTH(C3899)&lt;=6),2,IF(AND(MONTH(C3899)&gt;=7,MONTH(C3899)&lt;=9),3,4))))</f>
        <v>2</v>
      </c>
      <c r="D3900" s="36"/>
      <c r="E3900" s="7" t="s">
        <v>41</v>
      </c>
      <c r="F3900" s="6"/>
    </row>
    <row r="3901" spans="1:6" ht="15.75" thickBot="1" x14ac:dyDescent="0.3">
      <c r="A3901" s="40"/>
      <c r="B3901" s="40"/>
      <c r="C3901" s="40"/>
      <c r="D3901" s="40"/>
      <c r="E3901" s="40"/>
      <c r="F3901" s="40"/>
    </row>
    <row r="3902" spans="1:6" ht="15.75" thickBot="1" x14ac:dyDescent="0.3">
      <c r="A3902" s="12" t="s">
        <v>42</v>
      </c>
      <c r="B3902" s="12" t="s">
        <v>43</v>
      </c>
      <c r="C3902" s="12" t="s">
        <v>44</v>
      </c>
      <c r="D3902" s="12" t="s">
        <v>45</v>
      </c>
      <c r="E3902" s="12" t="s">
        <v>46</v>
      </c>
      <c r="F3902" s="12" t="s">
        <v>47</v>
      </c>
    </row>
    <row r="3903" spans="1:6" x14ac:dyDescent="0.25">
      <c r="A3903" s="8">
        <v>53103001</v>
      </c>
      <c r="B3903" s="9" t="str">
        <f ca="1">IFERROR(INDEX(UNSPSCDes,MATCH(INDIRECT(ADDRESS(ROW(),COLUMN()-1,4)),UNSPSCCode,0)),"")</f>
        <v>Camisetas (t-shirts)</v>
      </c>
      <c r="C3903" s="33" t="s">
        <v>55</v>
      </c>
      <c r="D3903" s="8">
        <v>5000</v>
      </c>
      <c r="E3903" s="11">
        <v>350</v>
      </c>
      <c r="F3903" s="10">
        <f ca="1">INDIRECT(ADDRESS(ROW(),COLUMN()-2,4))*INDIRECT(ADDRESS(ROW(),COLUMN()-1,4))</f>
        <v>1750000</v>
      </c>
    </row>
    <row r="3904" spans="1:6" x14ac:dyDescent="0.25">
      <c r="A3904" s="40"/>
      <c r="B3904" s="40"/>
      <c r="C3904" s="40"/>
      <c r="D3904" s="40"/>
      <c r="E3904" s="13" t="s">
        <v>87</v>
      </c>
      <c r="F3904" s="14">
        <f ca="1">SUM(Table3156[MONTO TOTAL ESTIMADO])</f>
        <v>1750000</v>
      </c>
    </row>
    <row r="3905" spans="1:6" ht="15.75" thickBot="1" x14ac:dyDescent="0.3">
      <c r="A3905" s="42"/>
      <c r="B3905" s="42"/>
      <c r="C3905" s="42"/>
      <c r="D3905" s="42"/>
      <c r="E3905" s="42"/>
      <c r="F3905" s="42"/>
    </row>
    <row r="3906" spans="1:6" ht="23.25" thickBot="1" x14ac:dyDescent="0.3">
      <c r="A3906" s="4" t="s">
        <v>19</v>
      </c>
      <c r="B3906" s="4" t="s">
        <v>20</v>
      </c>
      <c r="C3906" s="4" t="s">
        <v>21</v>
      </c>
      <c r="D3906" s="4" t="s">
        <v>22</v>
      </c>
      <c r="E3906" s="4" t="s">
        <v>23</v>
      </c>
      <c r="F3906" s="4" t="s">
        <v>24</v>
      </c>
    </row>
    <row r="3907" spans="1:6" ht="15.75" thickBot="1" x14ac:dyDescent="0.3">
      <c r="A3907" s="32" t="s">
        <v>510</v>
      </c>
      <c r="B3907" s="32" t="s">
        <v>511</v>
      </c>
      <c r="C3907" s="32" t="s">
        <v>27</v>
      </c>
      <c r="D3907" s="6" t="s">
        <v>28</v>
      </c>
      <c r="E3907" s="6" t="s">
        <v>262</v>
      </c>
      <c r="F3907" s="6"/>
    </row>
    <row r="3908" spans="1:6" ht="15.75" thickBot="1" x14ac:dyDescent="0.3">
      <c r="A3908" s="35" t="s">
        <v>31</v>
      </c>
      <c r="B3908" s="7" t="s">
        <v>32</v>
      </c>
      <c r="C3908" s="15">
        <v>45383</v>
      </c>
      <c r="D3908" s="35" t="s">
        <v>33</v>
      </c>
      <c r="E3908" s="7" t="s">
        <v>34</v>
      </c>
      <c r="F3908" s="6"/>
    </row>
    <row r="3909" spans="1:6" ht="15.75" thickBot="1" x14ac:dyDescent="0.3">
      <c r="A3909" s="36"/>
      <c r="B3909" s="7" t="s">
        <v>36</v>
      </c>
      <c r="C3909" s="5">
        <f>IF(C3908="","",IF(AND(MONTH(C3908)&gt;=1,MONTH(C3908)&lt;=3),1,IF(AND(MONTH(C3908)&gt;=4,MONTH(C3908)&lt;=6),2,IF(AND(MONTH(C3908)&gt;=7,MONTH(C3908)&lt;=9),3,4))))</f>
        <v>2</v>
      </c>
      <c r="D3909" s="36"/>
      <c r="E3909" s="7" t="s">
        <v>37</v>
      </c>
      <c r="F3909" s="6"/>
    </row>
    <row r="3910" spans="1:6" ht="15.75" thickBot="1" x14ac:dyDescent="0.3">
      <c r="A3910" s="36"/>
      <c r="B3910" s="7" t="s">
        <v>39</v>
      </c>
      <c r="C3910" s="15">
        <v>45473</v>
      </c>
      <c r="D3910" s="36"/>
      <c r="E3910" s="7" t="s">
        <v>40</v>
      </c>
      <c r="F3910" s="6"/>
    </row>
    <row r="3911" spans="1:6" ht="15.75" thickBot="1" x14ac:dyDescent="0.3">
      <c r="A3911" s="36"/>
      <c r="B3911" s="7" t="s">
        <v>36</v>
      </c>
      <c r="C3911" s="5">
        <f>IF(C3910="","",IF(AND(MONTH(C3910)&gt;=1,MONTH(C3910)&lt;=3),1,IF(AND(MONTH(C3910)&gt;=4,MONTH(C3910)&lt;=6),2,IF(AND(MONTH(C3910)&gt;=7,MONTH(C3910)&lt;=9),3,4))))</f>
        <v>2</v>
      </c>
      <c r="D3911" s="36"/>
      <c r="E3911" s="7" t="s">
        <v>41</v>
      </c>
      <c r="F3911" s="6"/>
    </row>
    <row r="3912" spans="1:6" ht="15.75" thickBot="1" x14ac:dyDescent="0.3">
      <c r="A3912" s="40"/>
      <c r="B3912" s="40"/>
      <c r="C3912" s="40"/>
      <c r="D3912" s="40"/>
      <c r="E3912" s="40"/>
      <c r="F3912" s="40"/>
    </row>
    <row r="3913" spans="1:6" ht="15.75" thickBot="1" x14ac:dyDescent="0.3">
      <c r="A3913" s="12" t="s">
        <v>42</v>
      </c>
      <c r="B3913" s="12" t="s">
        <v>43</v>
      </c>
      <c r="C3913" s="12" t="s">
        <v>44</v>
      </c>
      <c r="D3913" s="12" t="s">
        <v>45</v>
      </c>
      <c r="E3913" s="12" t="s">
        <v>46</v>
      </c>
      <c r="F3913" s="12" t="s">
        <v>47</v>
      </c>
    </row>
    <row r="3914" spans="1:6" x14ac:dyDescent="0.25">
      <c r="A3914" s="8">
        <v>49161608</v>
      </c>
      <c r="B3914" s="9" t="str">
        <f t="shared" ref="B3914:B3931" ca="1" si="55">IFERROR(INDEX(UNSPSCDes,MATCH(INDIRECT(ADDRESS(ROW(),COLUMN()-1,4)),UNSPSCCode,0)),"")</f>
        <v>Balones de voleibol</v>
      </c>
      <c r="C3914" s="33" t="s">
        <v>55</v>
      </c>
      <c r="D3914" s="8">
        <v>100</v>
      </c>
      <c r="E3914" s="11">
        <v>1593</v>
      </c>
      <c r="F3914" s="10">
        <f t="shared" ref="F3914:F3931" ca="1" si="56">INDIRECT(ADDRESS(ROW(),COLUMN()-2,4))*INDIRECT(ADDRESS(ROW(),COLUMN()-1,4))</f>
        <v>159300</v>
      </c>
    </row>
    <row r="3915" spans="1:6" x14ac:dyDescent="0.25">
      <c r="A3915" s="8">
        <v>49161603</v>
      </c>
      <c r="B3915" s="9" t="str">
        <f t="shared" ca="1" si="55"/>
        <v>Pelotas de básquetbol</v>
      </c>
      <c r="C3915" s="33" t="s">
        <v>55</v>
      </c>
      <c r="D3915" s="8">
        <v>30</v>
      </c>
      <c r="E3915" s="11">
        <v>1640</v>
      </c>
      <c r="F3915" s="10">
        <f t="shared" ca="1" si="56"/>
        <v>49200</v>
      </c>
    </row>
    <row r="3916" spans="1:6" x14ac:dyDescent="0.25">
      <c r="A3916" s="8">
        <v>49161603</v>
      </c>
      <c r="B3916" s="9" t="str">
        <f t="shared" ca="1" si="55"/>
        <v>Pelotas de básquetbol</v>
      </c>
      <c r="C3916" s="33" t="s">
        <v>55</v>
      </c>
      <c r="D3916" s="8">
        <v>100</v>
      </c>
      <c r="E3916" s="11">
        <v>1593</v>
      </c>
      <c r="F3916" s="10">
        <f t="shared" ca="1" si="56"/>
        <v>159300</v>
      </c>
    </row>
    <row r="3917" spans="1:6" x14ac:dyDescent="0.25">
      <c r="A3917" s="8">
        <v>49161503</v>
      </c>
      <c r="B3917" s="9" t="str">
        <f t="shared" ca="1" si="55"/>
        <v>Pelotas de beisbol</v>
      </c>
      <c r="C3917" s="33" t="s">
        <v>55</v>
      </c>
      <c r="D3917" s="8">
        <v>100</v>
      </c>
      <c r="E3917" s="11">
        <v>425</v>
      </c>
      <c r="F3917" s="10">
        <f t="shared" ca="1" si="56"/>
        <v>42500</v>
      </c>
    </row>
    <row r="3918" spans="1:6" x14ac:dyDescent="0.25">
      <c r="A3918" s="8">
        <v>49161509</v>
      </c>
      <c r="B3918" s="9" t="str">
        <f t="shared" ca="1" si="55"/>
        <v>Balones de softbol</v>
      </c>
      <c r="C3918" s="33" t="s">
        <v>55</v>
      </c>
      <c r="D3918" s="8">
        <v>100</v>
      </c>
      <c r="E3918" s="11">
        <v>477.9</v>
      </c>
      <c r="F3918" s="10">
        <f t="shared" ca="1" si="56"/>
        <v>47790</v>
      </c>
    </row>
    <row r="3919" spans="1:6" x14ac:dyDescent="0.25">
      <c r="A3919" s="8">
        <v>49161504</v>
      </c>
      <c r="B3919" s="9" t="str">
        <f t="shared" ca="1" si="55"/>
        <v>Balones de futbol</v>
      </c>
      <c r="C3919" s="33" t="s">
        <v>55</v>
      </c>
      <c r="D3919" s="8">
        <v>50</v>
      </c>
      <c r="E3919" s="11">
        <v>1593</v>
      </c>
      <c r="F3919" s="10">
        <f t="shared" ca="1" si="56"/>
        <v>79650</v>
      </c>
    </row>
    <row r="3920" spans="1:6" x14ac:dyDescent="0.25">
      <c r="A3920" s="8">
        <v>49161504</v>
      </c>
      <c r="B3920" s="9" t="str">
        <f t="shared" ca="1" si="55"/>
        <v>Balones de futbol</v>
      </c>
      <c r="C3920" s="33" t="s">
        <v>55</v>
      </c>
      <c r="D3920" s="8">
        <v>60</v>
      </c>
      <c r="E3920" s="11">
        <v>1593</v>
      </c>
      <c r="F3920" s="10">
        <f t="shared" ca="1" si="56"/>
        <v>95580</v>
      </c>
    </row>
    <row r="3921" spans="1:6" x14ac:dyDescent="0.25">
      <c r="A3921" s="8">
        <v>49221502</v>
      </c>
      <c r="B3921" s="9" t="str">
        <f t="shared" ca="1" si="55"/>
        <v>Porterías</v>
      </c>
      <c r="C3921" s="33" t="s">
        <v>55</v>
      </c>
      <c r="D3921" s="8">
        <v>30</v>
      </c>
      <c r="E3921" s="11">
        <v>1416</v>
      </c>
      <c r="F3921" s="10">
        <f t="shared" ca="1" si="56"/>
        <v>42480</v>
      </c>
    </row>
    <row r="3922" spans="1:6" x14ac:dyDescent="0.25">
      <c r="A3922" s="8">
        <v>49181509</v>
      </c>
      <c r="B3922" s="9" t="str">
        <f t="shared" ca="1" si="55"/>
        <v>Bolas de ping pong</v>
      </c>
      <c r="C3922" s="33" t="s">
        <v>55</v>
      </c>
      <c r="D3922" s="8">
        <v>100</v>
      </c>
      <c r="E3922" s="11">
        <v>94.4</v>
      </c>
      <c r="F3922" s="10">
        <f t="shared" ca="1" si="56"/>
        <v>9440</v>
      </c>
    </row>
    <row r="3923" spans="1:6" x14ac:dyDescent="0.25">
      <c r="A3923" s="8">
        <v>49161603</v>
      </c>
      <c r="B3923" s="9" t="str">
        <f t="shared" ca="1" si="55"/>
        <v>Pelotas de básquetbol</v>
      </c>
      <c r="C3923" s="33" t="s">
        <v>55</v>
      </c>
      <c r="D3923" s="8">
        <v>50</v>
      </c>
      <c r="E3923" s="11">
        <v>2950</v>
      </c>
      <c r="F3923" s="10">
        <f t="shared" ca="1" si="56"/>
        <v>147500</v>
      </c>
    </row>
    <row r="3924" spans="1:6" x14ac:dyDescent="0.25">
      <c r="A3924" s="8">
        <v>49161603</v>
      </c>
      <c r="B3924" s="9" t="str">
        <f t="shared" ca="1" si="55"/>
        <v>Pelotas de básquetbol</v>
      </c>
      <c r="C3924" s="33" t="s">
        <v>55</v>
      </c>
      <c r="D3924" s="8">
        <v>25</v>
      </c>
      <c r="E3924" s="11">
        <v>3304</v>
      </c>
      <c r="F3924" s="10">
        <f t="shared" ca="1" si="56"/>
        <v>82600</v>
      </c>
    </row>
    <row r="3925" spans="1:6" x14ac:dyDescent="0.25">
      <c r="A3925" s="8">
        <v>49161503</v>
      </c>
      <c r="B3925" s="9" t="str">
        <f t="shared" ca="1" si="55"/>
        <v>Pelotas de beisbol</v>
      </c>
      <c r="C3925" s="33" t="s">
        <v>55</v>
      </c>
      <c r="D3925" s="8">
        <v>25</v>
      </c>
      <c r="E3925" s="11">
        <v>295</v>
      </c>
      <c r="F3925" s="10">
        <f t="shared" ca="1" si="56"/>
        <v>7375</v>
      </c>
    </row>
    <row r="3926" spans="1:6" x14ac:dyDescent="0.25">
      <c r="A3926" s="8">
        <v>49221507</v>
      </c>
      <c r="B3926" s="9" t="str">
        <f t="shared" ca="1" si="55"/>
        <v>Tableros de basquetbol</v>
      </c>
      <c r="C3926" s="33" t="s">
        <v>55</v>
      </c>
      <c r="D3926" s="8">
        <v>10</v>
      </c>
      <c r="E3926" s="11">
        <v>41300</v>
      </c>
      <c r="F3926" s="10">
        <f t="shared" ca="1" si="56"/>
        <v>413000</v>
      </c>
    </row>
    <row r="3927" spans="1:6" x14ac:dyDescent="0.25">
      <c r="A3927" s="8">
        <v>49221505</v>
      </c>
      <c r="B3927" s="9" t="str">
        <f t="shared" ca="1" si="55"/>
        <v>Mallas o redes para deportes</v>
      </c>
      <c r="C3927" s="33" t="s">
        <v>55</v>
      </c>
      <c r="D3927" s="8">
        <v>25</v>
      </c>
      <c r="E3927" s="11">
        <v>241.9</v>
      </c>
      <c r="F3927" s="10">
        <f t="shared" ca="1" si="56"/>
        <v>6047.5</v>
      </c>
    </row>
    <row r="3928" spans="1:6" x14ac:dyDescent="0.25">
      <c r="A3928" s="8">
        <v>49161506</v>
      </c>
      <c r="B3928" s="9" t="str">
        <f t="shared" ca="1" si="55"/>
        <v>Bates de beisbol</v>
      </c>
      <c r="C3928" s="33" t="s">
        <v>55</v>
      </c>
      <c r="D3928" s="8">
        <v>25</v>
      </c>
      <c r="E3928" s="11">
        <v>5074</v>
      </c>
      <c r="F3928" s="10">
        <f t="shared" ca="1" si="56"/>
        <v>126850</v>
      </c>
    </row>
    <row r="3929" spans="1:6" x14ac:dyDescent="0.25">
      <c r="A3929" s="8">
        <v>49161520</v>
      </c>
      <c r="B3929" s="9" t="str">
        <f t="shared" ca="1" si="55"/>
        <v>Bates de softbol</v>
      </c>
      <c r="C3929" s="33" t="s">
        <v>55</v>
      </c>
      <c r="D3929" s="8">
        <v>10</v>
      </c>
      <c r="E3929" s="11">
        <v>4277.5</v>
      </c>
      <c r="F3929" s="10">
        <f t="shared" ca="1" si="56"/>
        <v>42775</v>
      </c>
    </row>
    <row r="3930" spans="1:6" x14ac:dyDescent="0.25">
      <c r="A3930" s="8">
        <v>49161608</v>
      </c>
      <c r="B3930" s="9" t="str">
        <f t="shared" ca="1" si="55"/>
        <v>Balones de voleibol</v>
      </c>
      <c r="C3930" s="33" t="s">
        <v>55</v>
      </c>
      <c r="D3930" s="8">
        <v>50</v>
      </c>
      <c r="E3930" s="11">
        <v>1800</v>
      </c>
      <c r="F3930" s="10">
        <f t="shared" ca="1" si="56"/>
        <v>90000</v>
      </c>
    </row>
    <row r="3931" spans="1:6" x14ac:dyDescent="0.25">
      <c r="A3931" s="8">
        <v>49161506</v>
      </c>
      <c r="B3931" s="9" t="str">
        <f t="shared" ca="1" si="55"/>
        <v>Bates de beisbol</v>
      </c>
      <c r="C3931" s="33" t="s">
        <v>55</v>
      </c>
      <c r="D3931" s="8">
        <v>15</v>
      </c>
      <c r="E3931" s="11">
        <v>4074</v>
      </c>
      <c r="F3931" s="10">
        <f t="shared" ca="1" si="56"/>
        <v>61110</v>
      </c>
    </row>
    <row r="3932" spans="1:6" x14ac:dyDescent="0.25">
      <c r="A3932" s="40"/>
      <c r="B3932" s="40"/>
      <c r="C3932" s="40"/>
      <c r="D3932" s="40"/>
      <c r="E3932" s="13" t="s">
        <v>87</v>
      </c>
      <c r="F3932" s="14">
        <f ca="1">SUM(Table3157[MONTO TOTAL ESTIMADO])</f>
        <v>1662497.5</v>
      </c>
    </row>
    <row r="3933" spans="1:6" ht="15.75" thickBot="1" x14ac:dyDescent="0.3">
      <c r="A3933" s="42"/>
      <c r="B3933" s="42"/>
      <c r="C3933" s="42"/>
      <c r="D3933" s="42"/>
      <c r="E3933" s="42"/>
      <c r="F3933" s="42"/>
    </row>
    <row r="3934" spans="1:6" ht="23.25" thickBot="1" x14ac:dyDescent="0.3">
      <c r="A3934" s="4" t="s">
        <v>19</v>
      </c>
      <c r="B3934" s="4" t="s">
        <v>20</v>
      </c>
      <c r="C3934" s="4" t="s">
        <v>21</v>
      </c>
      <c r="D3934" s="4" t="s">
        <v>22</v>
      </c>
      <c r="E3934" s="4" t="s">
        <v>23</v>
      </c>
      <c r="F3934" s="4" t="s">
        <v>24</v>
      </c>
    </row>
    <row r="3935" spans="1:6" ht="15.75" thickBot="1" x14ac:dyDescent="0.3">
      <c r="A3935" s="32" t="s">
        <v>540</v>
      </c>
      <c r="B3935" s="32" t="s">
        <v>541</v>
      </c>
      <c r="C3935" s="32" t="s">
        <v>129</v>
      </c>
      <c r="D3935" s="6" t="s">
        <v>28</v>
      </c>
      <c r="E3935" s="6" t="s">
        <v>262</v>
      </c>
      <c r="F3935" s="6"/>
    </row>
    <row r="3936" spans="1:6" ht="15.75" thickBot="1" x14ac:dyDescent="0.3">
      <c r="A3936" s="35" t="s">
        <v>31</v>
      </c>
      <c r="B3936" s="7" t="s">
        <v>32</v>
      </c>
      <c r="C3936" s="15">
        <v>45383</v>
      </c>
      <c r="D3936" s="35" t="s">
        <v>33</v>
      </c>
      <c r="E3936" s="7" t="s">
        <v>34</v>
      </c>
      <c r="F3936" s="6"/>
    </row>
    <row r="3937" spans="1:6" ht="15.75" thickBot="1" x14ac:dyDescent="0.3">
      <c r="A3937" s="36"/>
      <c r="B3937" s="7" t="s">
        <v>36</v>
      </c>
      <c r="C3937" s="5">
        <f>IF(C3936="","",IF(AND(MONTH(C3936)&gt;=1,MONTH(C3936)&lt;=3),1,IF(AND(MONTH(C3936)&gt;=4,MONTH(C3936)&lt;=6),2,IF(AND(MONTH(C3936)&gt;=7,MONTH(C3936)&lt;=9),3,4))))</f>
        <v>2</v>
      </c>
      <c r="D3937" s="36"/>
      <c r="E3937" s="7" t="s">
        <v>37</v>
      </c>
      <c r="F3937" s="6"/>
    </row>
    <row r="3938" spans="1:6" ht="15.75" thickBot="1" x14ac:dyDescent="0.3">
      <c r="A3938" s="36"/>
      <c r="B3938" s="7" t="s">
        <v>39</v>
      </c>
      <c r="C3938" s="15">
        <v>45473</v>
      </c>
      <c r="D3938" s="36"/>
      <c r="E3938" s="7" t="s">
        <v>40</v>
      </c>
      <c r="F3938" s="6"/>
    </row>
    <row r="3939" spans="1:6" ht="15.75" thickBot="1" x14ac:dyDescent="0.3">
      <c r="A3939" s="36"/>
      <c r="B3939" s="7" t="s">
        <v>36</v>
      </c>
      <c r="C3939" s="5">
        <f>IF(C3938="","",IF(AND(MONTH(C3938)&gt;=1,MONTH(C3938)&lt;=3),1,IF(AND(MONTH(C3938)&gt;=4,MONTH(C3938)&lt;=6),2,IF(AND(MONTH(C3938)&gt;=7,MONTH(C3938)&lt;=9),3,4))))</f>
        <v>2</v>
      </c>
      <c r="D3939" s="36"/>
      <c r="E3939" s="7" t="s">
        <v>41</v>
      </c>
      <c r="F3939" s="6"/>
    </row>
    <row r="3940" spans="1:6" ht="15.75" thickBot="1" x14ac:dyDescent="0.3">
      <c r="A3940" s="40"/>
      <c r="B3940" s="40"/>
      <c r="C3940" s="40"/>
      <c r="D3940" s="40"/>
      <c r="E3940" s="40"/>
      <c r="F3940" s="40"/>
    </row>
    <row r="3941" spans="1:6" ht="15.75" thickBot="1" x14ac:dyDescent="0.3">
      <c r="A3941" s="12" t="s">
        <v>42</v>
      </c>
      <c r="B3941" s="12" t="s">
        <v>43</v>
      </c>
      <c r="C3941" s="12" t="s">
        <v>44</v>
      </c>
      <c r="D3941" s="12" t="s">
        <v>45</v>
      </c>
      <c r="E3941" s="12" t="s">
        <v>46</v>
      </c>
      <c r="F3941" s="12" t="s">
        <v>47</v>
      </c>
    </row>
    <row r="3942" spans="1:6" x14ac:dyDescent="0.25">
      <c r="A3942" s="8">
        <v>86111604</v>
      </c>
      <c r="B3942" s="9" t="str">
        <f ca="1">IFERROR(INDEX(UNSPSCDes,MATCH(INDIRECT(ADDRESS(ROW(),COLUMN()-1,4)),UNSPSCCode,0)),"")</f>
        <v>Educación para empleados</v>
      </c>
      <c r="C3942" s="33" t="s">
        <v>55</v>
      </c>
      <c r="D3942" s="8">
        <v>1</v>
      </c>
      <c r="E3942" s="11">
        <v>1700000</v>
      </c>
      <c r="F3942" s="10">
        <f ca="1">INDIRECT(ADDRESS(ROW(),COLUMN()-2,4))*INDIRECT(ADDRESS(ROW(),COLUMN()-1,4))</f>
        <v>1700000</v>
      </c>
    </row>
    <row r="3943" spans="1:6" x14ac:dyDescent="0.25">
      <c r="A3943" s="40"/>
      <c r="B3943" s="40"/>
      <c r="C3943" s="40"/>
      <c r="D3943" s="40"/>
      <c r="E3943" s="13" t="s">
        <v>87</v>
      </c>
      <c r="F3943" s="14">
        <f ca="1">SUM(Table3158[MONTO TOTAL ESTIMADO])</f>
        <v>1700000</v>
      </c>
    </row>
    <row r="3944" spans="1:6" ht="15.75" thickBot="1" x14ac:dyDescent="0.3"/>
    <row r="3945" spans="1:6" ht="23.25" thickBot="1" x14ac:dyDescent="0.3">
      <c r="A3945" s="4" t="s">
        <v>19</v>
      </c>
      <c r="B3945" s="4" t="s">
        <v>20</v>
      </c>
      <c r="C3945" s="4" t="s">
        <v>21</v>
      </c>
      <c r="D3945" s="4" t="s">
        <v>22</v>
      </c>
      <c r="E3945" s="4" t="s">
        <v>23</v>
      </c>
      <c r="F3945" s="4" t="s">
        <v>24</v>
      </c>
    </row>
    <row r="3946" spans="1:6" ht="15.75" thickBot="1" x14ac:dyDescent="0.3">
      <c r="A3946" s="32" t="s">
        <v>214</v>
      </c>
      <c r="B3946" s="32" t="s">
        <v>215</v>
      </c>
      <c r="C3946" s="32" t="s">
        <v>129</v>
      </c>
      <c r="D3946" s="6" t="s">
        <v>140</v>
      </c>
      <c r="E3946" s="32" t="s">
        <v>29</v>
      </c>
      <c r="F3946" s="6"/>
    </row>
    <row r="3947" spans="1:6" ht="15.75" thickBot="1" x14ac:dyDescent="0.3">
      <c r="A3947" s="35" t="s">
        <v>31</v>
      </c>
      <c r="B3947" s="7" t="s">
        <v>32</v>
      </c>
      <c r="C3947" s="15">
        <v>45474</v>
      </c>
      <c r="D3947" s="35" t="s">
        <v>33</v>
      </c>
      <c r="E3947" s="7" t="s">
        <v>34</v>
      </c>
      <c r="F3947" s="6"/>
    </row>
    <row r="3948" spans="1:6" ht="15.75" thickBot="1" x14ac:dyDescent="0.3">
      <c r="A3948" s="36"/>
      <c r="B3948" s="7" t="s">
        <v>36</v>
      </c>
      <c r="C3948" s="5">
        <f>IF(C3947="","",IF(AND(MONTH(C3947)&gt;=1,MONTH(C3947)&lt;=3),1,IF(AND(MONTH(C3947)&gt;=4,MONTH(C3947)&lt;=6),2,IF(AND(MONTH(C3947)&gt;=7,MONTH(C3947)&lt;=9),3,4))))</f>
        <v>3</v>
      </c>
      <c r="D3948" s="36"/>
      <c r="E3948" s="7" t="s">
        <v>37</v>
      </c>
      <c r="F3948" s="6"/>
    </row>
    <row r="3949" spans="1:6" ht="15.75" thickBot="1" x14ac:dyDescent="0.3">
      <c r="A3949" s="36"/>
      <c r="B3949" s="7" t="s">
        <v>39</v>
      </c>
      <c r="C3949" s="15">
        <v>45565</v>
      </c>
      <c r="D3949" s="36"/>
      <c r="E3949" s="7" t="s">
        <v>40</v>
      </c>
      <c r="F3949" s="6"/>
    </row>
    <row r="3950" spans="1:6" ht="15.75" thickBot="1" x14ac:dyDescent="0.3">
      <c r="A3950" s="36"/>
      <c r="B3950" s="7" t="s">
        <v>36</v>
      </c>
      <c r="C3950" s="5">
        <f>IF(C3949="","",IF(AND(MONTH(C3949)&gt;=1,MONTH(C3949)&lt;=3),1,IF(AND(MONTH(C3949)&gt;=4,MONTH(C3949)&lt;=6),2,IF(AND(MONTH(C3949)&gt;=7,MONTH(C3949)&lt;=9),3,4))))</f>
        <v>3</v>
      </c>
      <c r="D3950" s="36"/>
      <c r="E3950" s="7" t="s">
        <v>41</v>
      </c>
      <c r="F3950" s="6"/>
    </row>
    <row r="3951" spans="1:6" ht="15.75" thickBot="1" x14ac:dyDescent="0.3">
      <c r="A3951" s="40"/>
      <c r="B3951" s="40"/>
      <c r="C3951" s="40"/>
      <c r="D3951" s="40"/>
      <c r="E3951" s="40"/>
      <c r="F3951" s="40"/>
    </row>
    <row r="3952" spans="1:6" ht="15.75" thickBot="1" x14ac:dyDescent="0.3">
      <c r="A3952" s="12" t="s">
        <v>42</v>
      </c>
      <c r="B3952" s="12" t="s">
        <v>43</v>
      </c>
      <c r="C3952" s="12" t="s">
        <v>44</v>
      </c>
      <c r="D3952" s="12" t="s">
        <v>45</v>
      </c>
      <c r="E3952" s="12" t="s">
        <v>46</v>
      </c>
      <c r="F3952" s="12" t="s">
        <v>47</v>
      </c>
    </row>
    <row r="3953" spans="1:6" x14ac:dyDescent="0.25">
      <c r="A3953" s="8">
        <v>78111808</v>
      </c>
      <c r="B3953" s="9" t="str">
        <f ca="1">IFERROR(INDEX(UNSPSCDes,MATCH(INDIRECT(ADDRESS(ROW(),COLUMN()-1,4)),UNSPSCCode,0)),"")</f>
        <v>Alquiler de vehículos</v>
      </c>
      <c r="C3953" s="33" t="s">
        <v>55</v>
      </c>
      <c r="D3953" s="8">
        <v>40</v>
      </c>
      <c r="E3953" s="11">
        <v>16800</v>
      </c>
      <c r="F3953" s="10">
        <f ca="1">INDIRECT(ADDRESS(ROW(),COLUMN()-2,4))*INDIRECT(ADDRESS(ROW(),COLUMN()-1,4))</f>
        <v>672000</v>
      </c>
    </row>
    <row r="3954" spans="1:6" x14ac:dyDescent="0.25">
      <c r="A3954" s="8">
        <v>78111803</v>
      </c>
      <c r="B3954" s="9" t="str">
        <f ca="1">IFERROR(INDEX(UNSPSCDes,MATCH(INDIRECT(ADDRESS(ROW(),COLUMN()-1,4)),UNSPSCCode,0)),"")</f>
        <v>Servicios de buses contratados</v>
      </c>
      <c r="C3954" s="33" t="s">
        <v>55</v>
      </c>
      <c r="D3954" s="8">
        <v>150</v>
      </c>
      <c r="E3954" s="11">
        <v>30000</v>
      </c>
      <c r="F3954" s="10">
        <f ca="1">INDIRECT(ADDRESS(ROW(),COLUMN()-2,4))*INDIRECT(ADDRESS(ROW(),COLUMN()-1,4))</f>
        <v>4500000</v>
      </c>
    </row>
    <row r="3955" spans="1:6" ht="22.5" x14ac:dyDescent="0.25">
      <c r="A3955" s="41">
        <v>78101802</v>
      </c>
      <c r="B3955" s="9" t="str">
        <f ca="1">IFERROR(INDEX(UNSPSCDes,MATCH(INDIRECT(ADDRESS(ROW(),COLUMN()-1,4)),UNSPSCCode,0)),"")</f>
        <v>Servicios transporte de carga por carretera (en camión) a nivel regional y nacional</v>
      </c>
      <c r="C3955" s="33" t="s">
        <v>55</v>
      </c>
      <c r="D3955" s="8">
        <v>60</v>
      </c>
      <c r="E3955" s="11">
        <v>35000</v>
      </c>
      <c r="F3955" s="10">
        <f ca="1">INDIRECT(ADDRESS(ROW(),COLUMN()-2,4))*INDIRECT(ADDRESS(ROW(),COLUMN()-1,4))</f>
        <v>2100000</v>
      </c>
    </row>
    <row r="3956" spans="1:6" x14ac:dyDescent="0.25">
      <c r="A3956" s="40"/>
      <c r="B3956" s="40"/>
      <c r="C3956" s="40"/>
      <c r="D3956" s="40"/>
      <c r="E3956" s="13" t="s">
        <v>87</v>
      </c>
      <c r="F3956" s="14">
        <f ca="1">SUM(Table348110[MONTO TOTAL ESTIMADO])</f>
        <v>7272000</v>
      </c>
    </row>
    <row r="3957" spans="1:6" ht="15.75" thickBot="1" x14ac:dyDescent="0.3">
      <c r="A3957" s="42"/>
      <c r="B3957" s="42"/>
      <c r="C3957" s="42"/>
      <c r="D3957" s="42"/>
      <c r="E3957" s="42"/>
      <c r="F3957" s="42"/>
    </row>
    <row r="3958" spans="1:6" ht="23.25" thickBot="1" x14ac:dyDescent="0.3">
      <c r="A3958" s="4" t="s">
        <v>19</v>
      </c>
      <c r="B3958" s="4" t="s">
        <v>20</v>
      </c>
      <c r="C3958" s="4" t="s">
        <v>21</v>
      </c>
      <c r="D3958" s="4" t="s">
        <v>22</v>
      </c>
      <c r="E3958" s="4" t="s">
        <v>23</v>
      </c>
      <c r="F3958" s="4" t="s">
        <v>24</v>
      </c>
    </row>
    <row r="3959" spans="1:6" ht="15.75" thickBot="1" x14ac:dyDescent="0.3">
      <c r="A3959" s="32" t="s">
        <v>219</v>
      </c>
      <c r="B3959" s="32" t="s">
        <v>220</v>
      </c>
      <c r="C3959" s="32" t="s">
        <v>129</v>
      </c>
      <c r="D3959" s="6" t="s">
        <v>140</v>
      </c>
      <c r="E3959" s="32" t="s">
        <v>29</v>
      </c>
      <c r="F3959" s="6"/>
    </row>
    <row r="3960" spans="1:6" ht="15.75" thickBot="1" x14ac:dyDescent="0.3">
      <c r="A3960" s="35" t="s">
        <v>31</v>
      </c>
      <c r="B3960" s="7" t="s">
        <v>32</v>
      </c>
      <c r="C3960" s="15">
        <v>45474</v>
      </c>
      <c r="D3960" s="35" t="s">
        <v>33</v>
      </c>
      <c r="E3960" s="7" t="s">
        <v>34</v>
      </c>
      <c r="F3960" s="6"/>
    </row>
    <row r="3961" spans="1:6" ht="15.75" thickBot="1" x14ac:dyDescent="0.3">
      <c r="A3961" s="36"/>
      <c r="B3961" s="7" t="s">
        <v>36</v>
      </c>
      <c r="C3961" s="5">
        <f>IF(C3960="","",IF(AND(MONTH(C3960)&gt;=1,MONTH(C3960)&lt;=3),1,IF(AND(MONTH(C3960)&gt;=4,MONTH(C3960)&lt;=6),2,IF(AND(MONTH(C3960)&gt;=7,MONTH(C3960)&lt;=9),3,4))))</f>
        <v>3</v>
      </c>
      <c r="D3961" s="36"/>
      <c r="E3961" s="7" t="s">
        <v>37</v>
      </c>
      <c r="F3961" s="6"/>
    </row>
    <row r="3962" spans="1:6" ht="15.75" thickBot="1" x14ac:dyDescent="0.3">
      <c r="A3962" s="36"/>
      <c r="B3962" s="7" t="s">
        <v>39</v>
      </c>
      <c r="C3962" s="15">
        <v>45565</v>
      </c>
      <c r="D3962" s="36"/>
      <c r="E3962" s="7" t="s">
        <v>40</v>
      </c>
      <c r="F3962" s="6"/>
    </row>
    <row r="3963" spans="1:6" ht="15.75" thickBot="1" x14ac:dyDescent="0.3">
      <c r="A3963" s="36"/>
      <c r="B3963" s="7" t="s">
        <v>36</v>
      </c>
      <c r="C3963" s="5">
        <f>IF(C3962="","",IF(AND(MONTH(C3962)&gt;=1,MONTH(C3962)&lt;=3),1,IF(AND(MONTH(C3962)&gt;=4,MONTH(C3962)&lt;=6),2,IF(AND(MONTH(C3962)&gt;=7,MONTH(C3962)&lt;=9),3,4))))</f>
        <v>3</v>
      </c>
      <c r="D3963" s="36"/>
      <c r="E3963" s="7" t="s">
        <v>41</v>
      </c>
      <c r="F3963" s="6"/>
    </row>
    <row r="3964" spans="1:6" ht="15.75" thickBot="1" x14ac:dyDescent="0.3">
      <c r="A3964" s="40"/>
      <c r="B3964" s="40"/>
      <c r="C3964" s="40"/>
      <c r="D3964" s="40"/>
      <c r="E3964" s="40"/>
      <c r="F3964" s="40"/>
    </row>
    <row r="3965" spans="1:6" ht="15.75" thickBot="1" x14ac:dyDescent="0.3">
      <c r="A3965" s="12" t="s">
        <v>42</v>
      </c>
      <c r="B3965" s="12" t="s">
        <v>43</v>
      </c>
      <c r="C3965" s="12" t="s">
        <v>44</v>
      </c>
      <c r="D3965" s="12" t="s">
        <v>45</v>
      </c>
      <c r="E3965" s="12" t="s">
        <v>46</v>
      </c>
      <c r="F3965" s="12" t="s">
        <v>47</v>
      </c>
    </row>
    <row r="3966" spans="1:6" x14ac:dyDescent="0.25">
      <c r="A3966" s="8">
        <v>80141607</v>
      </c>
      <c r="B3966" s="9" t="str">
        <f ca="1">IFERROR(INDEX(UNSPSCDes,MATCH(INDIRECT(ADDRESS(ROW(),COLUMN()-1,4)),UNSPSCCode,0)),"")</f>
        <v>Gestión de eventos</v>
      </c>
      <c r="C3966" s="8" t="s">
        <v>55</v>
      </c>
      <c r="D3966" s="8">
        <v>1</v>
      </c>
      <c r="E3966" s="11">
        <v>30000000</v>
      </c>
      <c r="F3966" s="10">
        <f ca="1">INDIRECT(ADDRESS(ROW(),COLUMN()-2,4))*INDIRECT(ADDRESS(ROW(),COLUMN()-1,4))</f>
        <v>30000000</v>
      </c>
    </row>
    <row r="3967" spans="1:6" x14ac:dyDescent="0.25">
      <c r="A3967" s="8">
        <v>80141607</v>
      </c>
      <c r="B3967" s="9" t="str">
        <f ca="1">IFERROR(INDEX(UNSPSCDes,MATCH(INDIRECT(ADDRESS(ROW(),COLUMN()-1,4)),UNSPSCCode,0)),"")</f>
        <v>Gestión de eventos</v>
      </c>
      <c r="C3967" s="33" t="s">
        <v>55</v>
      </c>
      <c r="D3967" s="8">
        <v>1</v>
      </c>
      <c r="E3967" s="11">
        <v>30000000</v>
      </c>
      <c r="F3967" s="10">
        <f ca="1">INDIRECT(ADDRESS(ROW(),COLUMN()-2,4))*INDIRECT(ADDRESS(ROW(),COLUMN()-1,4))</f>
        <v>30000000</v>
      </c>
    </row>
    <row r="3968" spans="1:6" x14ac:dyDescent="0.25">
      <c r="A3968" s="40"/>
      <c r="B3968" s="40"/>
      <c r="C3968" s="40"/>
      <c r="D3968" s="40"/>
      <c r="E3968" s="13" t="s">
        <v>87</v>
      </c>
      <c r="F3968" s="14">
        <f ca="1">SUM(Table349111[MONTO TOTAL ESTIMADO])</f>
        <v>60000000</v>
      </c>
    </row>
    <row r="3969" spans="1:6" ht="15.75" thickBot="1" x14ac:dyDescent="0.3">
      <c r="A3969" s="42"/>
      <c r="B3969" s="42"/>
      <c r="C3969" s="42"/>
      <c r="D3969" s="42"/>
      <c r="E3969" s="42"/>
      <c r="F3969" s="42"/>
    </row>
    <row r="3970" spans="1:6" ht="23.25" thickBot="1" x14ac:dyDescent="0.3">
      <c r="A3970" s="4" t="s">
        <v>19</v>
      </c>
      <c r="B3970" s="4" t="s">
        <v>20</v>
      </c>
      <c r="C3970" s="4" t="s">
        <v>21</v>
      </c>
      <c r="D3970" s="4" t="s">
        <v>22</v>
      </c>
      <c r="E3970" s="4" t="s">
        <v>23</v>
      </c>
      <c r="F3970" s="4" t="s">
        <v>24</v>
      </c>
    </row>
    <row r="3971" spans="1:6" ht="15.75" thickBot="1" x14ac:dyDescent="0.3">
      <c r="A3971" s="32" t="s">
        <v>221</v>
      </c>
      <c r="B3971" s="32" t="s">
        <v>222</v>
      </c>
      <c r="C3971" s="6" t="s">
        <v>129</v>
      </c>
      <c r="D3971" s="6" t="s">
        <v>140</v>
      </c>
      <c r="E3971" s="32" t="s">
        <v>29</v>
      </c>
      <c r="F3971" s="6"/>
    </row>
    <row r="3972" spans="1:6" ht="15.75" thickBot="1" x14ac:dyDescent="0.3">
      <c r="A3972" s="35" t="s">
        <v>31</v>
      </c>
      <c r="B3972" s="7" t="s">
        <v>32</v>
      </c>
      <c r="C3972" s="15">
        <v>45474</v>
      </c>
      <c r="D3972" s="35" t="s">
        <v>33</v>
      </c>
      <c r="E3972" s="7" t="s">
        <v>34</v>
      </c>
      <c r="F3972" s="6"/>
    </row>
    <row r="3973" spans="1:6" ht="15.75" thickBot="1" x14ac:dyDescent="0.3">
      <c r="A3973" s="36"/>
      <c r="B3973" s="7" t="s">
        <v>36</v>
      </c>
      <c r="C3973" s="5">
        <f>IF(C3972="","",IF(AND(MONTH(C3972)&gt;=1,MONTH(C3972)&lt;=3),1,IF(AND(MONTH(C3972)&gt;=4,MONTH(C3972)&lt;=6),2,IF(AND(MONTH(C3972)&gt;=7,MONTH(C3972)&lt;=9),3,4))))</f>
        <v>3</v>
      </c>
      <c r="D3973" s="36"/>
      <c r="E3973" s="7" t="s">
        <v>37</v>
      </c>
      <c r="F3973" s="6"/>
    </row>
    <row r="3974" spans="1:6" ht="15.75" thickBot="1" x14ac:dyDescent="0.3">
      <c r="A3974" s="36"/>
      <c r="B3974" s="7" t="s">
        <v>39</v>
      </c>
      <c r="C3974" s="15">
        <v>45565</v>
      </c>
      <c r="D3974" s="36"/>
      <c r="E3974" s="7" t="s">
        <v>40</v>
      </c>
      <c r="F3974" s="6"/>
    </row>
    <row r="3975" spans="1:6" ht="15.75" thickBot="1" x14ac:dyDescent="0.3">
      <c r="A3975" s="36"/>
      <c r="B3975" s="7" t="s">
        <v>36</v>
      </c>
      <c r="C3975" s="5">
        <f>IF(C3974="","",IF(AND(MONTH(C3974)&gt;=1,MONTH(C3974)&lt;=3),1,IF(AND(MONTH(C3974)&gt;=4,MONTH(C3974)&lt;=6),2,IF(AND(MONTH(C3974)&gt;=7,MONTH(C3974)&lt;=9),3,4))))</f>
        <v>3</v>
      </c>
      <c r="D3975" s="36"/>
      <c r="E3975" s="7" t="s">
        <v>41</v>
      </c>
      <c r="F3975" s="6"/>
    </row>
    <row r="3976" spans="1:6" ht="15.75" thickBot="1" x14ac:dyDescent="0.3">
      <c r="A3976" s="40"/>
      <c r="B3976" s="40"/>
      <c r="C3976" s="40"/>
      <c r="D3976" s="40"/>
      <c r="E3976" s="40"/>
      <c r="F3976" s="40"/>
    </row>
    <row r="3977" spans="1:6" ht="15.75" thickBot="1" x14ac:dyDescent="0.3">
      <c r="A3977" s="12" t="s">
        <v>42</v>
      </c>
      <c r="B3977" s="12" t="s">
        <v>43</v>
      </c>
      <c r="C3977" s="12" t="s">
        <v>44</v>
      </c>
      <c r="D3977" s="12" t="s">
        <v>45</v>
      </c>
      <c r="E3977" s="12" t="s">
        <v>46</v>
      </c>
      <c r="F3977" s="12" t="s">
        <v>47</v>
      </c>
    </row>
    <row r="3978" spans="1:6" x14ac:dyDescent="0.25">
      <c r="A3978" s="8">
        <v>90101802</v>
      </c>
      <c r="B3978" s="9" t="str">
        <f ca="1">IFERROR(INDEX(UNSPSCDes,MATCH(INDIRECT(ADDRESS(ROW(),COLUMN()-1,4)),UNSPSCCode,0)),"")</f>
        <v>Servicios de comidas a domicilio</v>
      </c>
      <c r="C3978" s="8" t="s">
        <v>55</v>
      </c>
      <c r="D3978" s="8">
        <v>10</v>
      </c>
      <c r="E3978" s="11">
        <v>44999900</v>
      </c>
      <c r="F3978" s="10">
        <f ca="1">INDIRECT(ADDRESS(ROW(),COLUMN()-2,4))*INDIRECT(ADDRESS(ROW(),COLUMN()-1,4))</f>
        <v>449999000</v>
      </c>
    </row>
    <row r="3979" spans="1:6" x14ac:dyDescent="0.25">
      <c r="A3979" s="40"/>
      <c r="B3979" s="40"/>
      <c r="C3979" s="40"/>
      <c r="D3979" s="40"/>
      <c r="E3979" s="13" t="s">
        <v>87</v>
      </c>
      <c r="F3979" s="14">
        <f ca="1">SUM(Table350112[MONTO TOTAL ESTIMADO])</f>
        <v>449999000</v>
      </c>
    </row>
    <row r="3980" spans="1:6" ht="15.75" thickBot="1" x14ac:dyDescent="0.3">
      <c r="A3980" s="42"/>
      <c r="B3980" s="42"/>
      <c r="C3980" s="42"/>
      <c r="D3980" s="42"/>
      <c r="E3980" s="42"/>
      <c r="F3980" s="42"/>
    </row>
    <row r="3981" spans="1:6" ht="23.25" thickBot="1" x14ac:dyDescent="0.3">
      <c r="A3981" s="4" t="s">
        <v>19</v>
      </c>
      <c r="B3981" s="4" t="s">
        <v>20</v>
      </c>
      <c r="C3981" s="4" t="s">
        <v>21</v>
      </c>
      <c r="D3981" s="4" t="s">
        <v>22</v>
      </c>
      <c r="E3981" s="4" t="s">
        <v>23</v>
      </c>
      <c r="F3981" s="4" t="s">
        <v>24</v>
      </c>
    </row>
    <row r="3982" spans="1:6" ht="15.75" thickBot="1" x14ac:dyDescent="0.3">
      <c r="A3982" s="32" t="s">
        <v>224</v>
      </c>
      <c r="B3982" s="32" t="s">
        <v>225</v>
      </c>
      <c r="C3982" s="6" t="s">
        <v>27</v>
      </c>
      <c r="D3982" s="6" t="s">
        <v>140</v>
      </c>
      <c r="E3982" s="32" t="s">
        <v>29</v>
      </c>
      <c r="F3982" s="6"/>
    </row>
    <row r="3983" spans="1:6" ht="15.75" thickBot="1" x14ac:dyDescent="0.3">
      <c r="A3983" s="35" t="s">
        <v>31</v>
      </c>
      <c r="B3983" s="7" t="s">
        <v>32</v>
      </c>
      <c r="C3983" s="15">
        <v>45474</v>
      </c>
      <c r="D3983" s="35" t="s">
        <v>33</v>
      </c>
      <c r="E3983" s="7" t="s">
        <v>34</v>
      </c>
      <c r="F3983" s="6"/>
    </row>
    <row r="3984" spans="1:6" ht="15.75" thickBot="1" x14ac:dyDescent="0.3">
      <c r="A3984" s="36"/>
      <c r="B3984" s="7" t="s">
        <v>36</v>
      </c>
      <c r="C3984" s="5">
        <f>IF(C3983="","",IF(AND(MONTH(C3983)&gt;=1,MONTH(C3983)&lt;=3),1,IF(AND(MONTH(C3983)&gt;=4,MONTH(C3983)&lt;=6),2,IF(AND(MONTH(C3983)&gt;=7,MONTH(C3983)&lt;=9),3,4))))</f>
        <v>3</v>
      </c>
      <c r="D3984" s="36"/>
      <c r="E3984" s="7" t="s">
        <v>37</v>
      </c>
      <c r="F3984" s="6"/>
    </row>
    <row r="3985" spans="1:6" ht="15.75" thickBot="1" x14ac:dyDescent="0.3">
      <c r="A3985" s="36"/>
      <c r="B3985" s="7" t="s">
        <v>39</v>
      </c>
      <c r="C3985" s="15">
        <v>45565</v>
      </c>
      <c r="D3985" s="36"/>
      <c r="E3985" s="7" t="s">
        <v>40</v>
      </c>
      <c r="F3985" s="6"/>
    </row>
    <row r="3986" spans="1:6" ht="15.75" thickBot="1" x14ac:dyDescent="0.3">
      <c r="A3986" s="36"/>
      <c r="B3986" s="7" t="s">
        <v>36</v>
      </c>
      <c r="C3986" s="5">
        <f>IF(C3985="","",IF(AND(MONTH(C3985)&gt;=1,MONTH(C3985)&lt;=3),1,IF(AND(MONTH(C3985)&gt;=4,MONTH(C3985)&lt;=6),2,IF(AND(MONTH(C3985)&gt;=7,MONTH(C3985)&lt;=9),3,4))))</f>
        <v>3</v>
      </c>
      <c r="D3986" s="36"/>
      <c r="E3986" s="7" t="s">
        <v>41</v>
      </c>
      <c r="F3986" s="6"/>
    </row>
    <row r="3987" spans="1:6" ht="15.75" thickBot="1" x14ac:dyDescent="0.3">
      <c r="A3987" s="40"/>
      <c r="B3987" s="40"/>
      <c r="C3987" s="40"/>
      <c r="D3987" s="40"/>
      <c r="E3987" s="40"/>
      <c r="F3987" s="40"/>
    </row>
    <row r="3988" spans="1:6" ht="15.75" thickBot="1" x14ac:dyDescent="0.3">
      <c r="A3988" s="12" t="s">
        <v>42</v>
      </c>
      <c r="B3988" s="12" t="s">
        <v>43</v>
      </c>
      <c r="C3988" s="12" t="s">
        <v>44</v>
      </c>
      <c r="D3988" s="12" t="s">
        <v>45</v>
      </c>
      <c r="E3988" s="12" t="s">
        <v>46</v>
      </c>
      <c r="F3988" s="12" t="s">
        <v>47</v>
      </c>
    </row>
    <row r="3989" spans="1:6" x14ac:dyDescent="0.25">
      <c r="A3989" s="41">
        <v>44121701</v>
      </c>
      <c r="B3989" s="9" t="str">
        <f t="shared" ref="B3989:B4020" ca="1" si="57">IFERROR(INDEX(UNSPSCDes,MATCH(INDIRECT(ADDRESS(ROW(),COLUMN()-1,4)),UNSPSCCode,0)),"")</f>
        <v>Bolígrafos</v>
      </c>
      <c r="C3989" s="8" t="s">
        <v>55</v>
      </c>
      <c r="D3989" s="8">
        <v>18000</v>
      </c>
      <c r="E3989" s="11">
        <v>9.44</v>
      </c>
      <c r="F3989" s="10">
        <f t="shared" ref="F3989:F4047" ca="1" si="58">INDIRECT(ADDRESS(ROW(),COLUMN()-2,4))*INDIRECT(ADDRESS(ROW(),COLUMN()-1,4))</f>
        <v>169920</v>
      </c>
    </row>
    <row r="3990" spans="1:6" x14ac:dyDescent="0.25">
      <c r="A3990" s="41">
        <v>44121703</v>
      </c>
      <c r="B3990" s="9" t="str">
        <f t="shared" ca="1" si="57"/>
        <v>Estilógrafos</v>
      </c>
      <c r="C3990" s="33" t="s">
        <v>55</v>
      </c>
      <c r="D3990" s="8">
        <v>3600</v>
      </c>
      <c r="E3990" s="11">
        <v>22.22</v>
      </c>
      <c r="F3990" s="10">
        <f t="shared" ca="1" si="58"/>
        <v>79992</v>
      </c>
    </row>
    <row r="3991" spans="1:6" x14ac:dyDescent="0.25">
      <c r="A3991" s="41">
        <v>44121706</v>
      </c>
      <c r="B3991" s="9" t="str">
        <f t="shared" ca="1" si="57"/>
        <v>Lápices de madera</v>
      </c>
      <c r="C3991" s="33" t="s">
        <v>55</v>
      </c>
      <c r="D3991" s="8">
        <v>4800</v>
      </c>
      <c r="E3991" s="11">
        <v>16.75</v>
      </c>
      <c r="F3991" s="10">
        <f t="shared" ca="1" si="58"/>
        <v>80400</v>
      </c>
    </row>
    <row r="3992" spans="1:6" x14ac:dyDescent="0.25">
      <c r="A3992" s="41">
        <v>44121708</v>
      </c>
      <c r="B3992" s="9" t="str">
        <f t="shared" ca="1" si="57"/>
        <v>Marcadores</v>
      </c>
      <c r="C3992" s="33" t="s">
        <v>55</v>
      </c>
      <c r="D3992" s="8">
        <v>1050</v>
      </c>
      <c r="E3992" s="11">
        <v>152.38</v>
      </c>
      <c r="F3992" s="10">
        <f t="shared" ca="1" si="58"/>
        <v>159999</v>
      </c>
    </row>
    <row r="3993" spans="1:6" x14ac:dyDescent="0.25">
      <c r="A3993" s="41">
        <v>44121716</v>
      </c>
      <c r="B3993" s="9" t="str">
        <f t="shared" ca="1" si="57"/>
        <v>Resaltadores</v>
      </c>
      <c r="C3993" s="33" t="s">
        <v>55</v>
      </c>
      <c r="D3993" s="8">
        <v>3000</v>
      </c>
      <c r="E3993" s="11">
        <v>23.33</v>
      </c>
      <c r="F3993" s="10">
        <f t="shared" ca="1" si="58"/>
        <v>69990</v>
      </c>
    </row>
    <row r="3994" spans="1:6" x14ac:dyDescent="0.25">
      <c r="A3994" s="41">
        <v>44121708</v>
      </c>
      <c r="B3994" s="9" t="str">
        <f t="shared" ca="1" si="57"/>
        <v>Marcadores</v>
      </c>
      <c r="C3994" s="33" t="s">
        <v>55</v>
      </c>
      <c r="D3994" s="8">
        <v>4500</v>
      </c>
      <c r="E3994" s="11">
        <v>35.56</v>
      </c>
      <c r="F3994" s="10">
        <f t="shared" ca="1" si="58"/>
        <v>160020</v>
      </c>
    </row>
    <row r="3995" spans="1:6" x14ac:dyDescent="0.25">
      <c r="A3995" s="41">
        <v>44121804</v>
      </c>
      <c r="B3995" s="9" t="str">
        <f t="shared" ca="1" si="57"/>
        <v>Borradores</v>
      </c>
      <c r="C3995" s="33" t="s">
        <v>55</v>
      </c>
      <c r="D3995" s="8">
        <v>1000</v>
      </c>
      <c r="E3995" s="11">
        <v>22</v>
      </c>
      <c r="F3995" s="10">
        <f t="shared" ca="1" si="58"/>
        <v>22000</v>
      </c>
    </row>
    <row r="3996" spans="1:6" x14ac:dyDescent="0.25">
      <c r="A3996" s="41">
        <v>44121628</v>
      </c>
      <c r="B3996" s="9" t="str">
        <f t="shared" ca="1" si="57"/>
        <v>Contenedores o dispensadores de clips</v>
      </c>
      <c r="C3996" s="33" t="s">
        <v>55</v>
      </c>
      <c r="D3996" s="8">
        <v>750</v>
      </c>
      <c r="E3996" s="11">
        <v>73.33</v>
      </c>
      <c r="F3996" s="10">
        <f t="shared" ca="1" si="58"/>
        <v>54997.5</v>
      </c>
    </row>
    <row r="3997" spans="1:6" x14ac:dyDescent="0.25">
      <c r="A3997" s="41">
        <v>44122104</v>
      </c>
      <c r="B3997" s="9" t="str">
        <f t="shared" ca="1" si="57"/>
        <v>Clips para papel</v>
      </c>
      <c r="C3997" s="8" t="s">
        <v>49</v>
      </c>
      <c r="D3997" s="8">
        <v>3000</v>
      </c>
      <c r="E3997" s="11">
        <v>96</v>
      </c>
      <c r="F3997" s="10">
        <f t="shared" ca="1" si="58"/>
        <v>288000</v>
      </c>
    </row>
    <row r="3998" spans="1:6" x14ac:dyDescent="0.25">
      <c r="A3998" s="41">
        <v>44122104</v>
      </c>
      <c r="B3998" s="9" t="str">
        <f t="shared" ca="1" si="57"/>
        <v>Clips para papel</v>
      </c>
      <c r="C3998" s="33" t="s">
        <v>49</v>
      </c>
      <c r="D3998" s="8">
        <v>3000</v>
      </c>
      <c r="E3998" s="11">
        <v>104</v>
      </c>
      <c r="F3998" s="10">
        <f t="shared" ca="1" si="58"/>
        <v>312000</v>
      </c>
    </row>
    <row r="3999" spans="1:6" x14ac:dyDescent="0.25">
      <c r="A3999" s="41">
        <v>44122105</v>
      </c>
      <c r="B3999" s="9" t="str">
        <f t="shared" ca="1" si="57"/>
        <v>Clips para carpetas o bulldog</v>
      </c>
      <c r="C3999" s="33" t="s">
        <v>49</v>
      </c>
      <c r="D3999" s="8">
        <v>750</v>
      </c>
      <c r="E3999" s="11">
        <v>466.67</v>
      </c>
      <c r="F3999" s="10">
        <f t="shared" ca="1" si="58"/>
        <v>350002.5</v>
      </c>
    </row>
    <row r="4000" spans="1:6" x14ac:dyDescent="0.25">
      <c r="A4000" s="41">
        <v>44122105</v>
      </c>
      <c r="B4000" s="9" t="str">
        <f t="shared" ca="1" si="57"/>
        <v>Clips para carpetas o bulldog</v>
      </c>
      <c r="C4000" s="33" t="s">
        <v>49</v>
      </c>
      <c r="D4000" s="8">
        <v>2000</v>
      </c>
      <c r="E4000" s="11">
        <v>175</v>
      </c>
      <c r="F4000" s="10">
        <f t="shared" ca="1" si="58"/>
        <v>350000</v>
      </c>
    </row>
    <row r="4001" spans="1:6" x14ac:dyDescent="0.25">
      <c r="A4001" s="41">
        <v>44122105</v>
      </c>
      <c r="B4001" s="9" t="str">
        <f t="shared" ca="1" si="57"/>
        <v>Clips para carpetas o bulldog</v>
      </c>
      <c r="C4001" s="33" t="s">
        <v>49</v>
      </c>
      <c r="D4001" s="8">
        <v>3500</v>
      </c>
      <c r="E4001" s="11">
        <v>102.85</v>
      </c>
      <c r="F4001" s="10">
        <f t="shared" ca="1" si="58"/>
        <v>359975</v>
      </c>
    </row>
    <row r="4002" spans="1:6" x14ac:dyDescent="0.25">
      <c r="A4002" s="41">
        <v>31201610</v>
      </c>
      <c r="B4002" s="9" t="str">
        <f t="shared" ca="1" si="57"/>
        <v>Pegamentos</v>
      </c>
      <c r="C4002" s="33" t="s">
        <v>55</v>
      </c>
      <c r="D4002" s="8">
        <v>100</v>
      </c>
      <c r="E4002" s="11">
        <v>700</v>
      </c>
      <c r="F4002" s="10">
        <f t="shared" ca="1" si="58"/>
        <v>70000</v>
      </c>
    </row>
    <row r="4003" spans="1:6" x14ac:dyDescent="0.25">
      <c r="A4003" s="41">
        <v>31201610</v>
      </c>
      <c r="B4003" s="9" t="str">
        <f t="shared" ca="1" si="57"/>
        <v>Pegamentos</v>
      </c>
      <c r="C4003" s="33" t="s">
        <v>55</v>
      </c>
      <c r="D4003" s="8">
        <v>100</v>
      </c>
      <c r="E4003" s="11">
        <v>550</v>
      </c>
      <c r="F4003" s="10">
        <f t="shared" ca="1" si="58"/>
        <v>55000</v>
      </c>
    </row>
    <row r="4004" spans="1:6" x14ac:dyDescent="0.25">
      <c r="A4004" s="41">
        <v>14111530</v>
      </c>
      <c r="B4004" s="9" t="str">
        <f t="shared" ca="1" si="57"/>
        <v>Papel de notas autoadhesivas</v>
      </c>
      <c r="C4004" s="33" t="s">
        <v>55</v>
      </c>
      <c r="D4004" s="8">
        <v>2500</v>
      </c>
      <c r="E4004" s="11">
        <v>96</v>
      </c>
      <c r="F4004" s="10">
        <f t="shared" ca="1" si="58"/>
        <v>240000</v>
      </c>
    </row>
    <row r="4005" spans="1:6" x14ac:dyDescent="0.25">
      <c r="A4005" s="41">
        <v>14111530</v>
      </c>
      <c r="B4005" s="9" t="str">
        <f t="shared" ca="1" si="57"/>
        <v>Papel de notas autoadhesivas</v>
      </c>
      <c r="C4005" s="33" t="s">
        <v>55</v>
      </c>
      <c r="D4005" s="8">
        <v>3000</v>
      </c>
      <c r="E4005" s="11">
        <v>80</v>
      </c>
      <c r="F4005" s="10">
        <f t="shared" ca="1" si="58"/>
        <v>240000</v>
      </c>
    </row>
    <row r="4006" spans="1:6" x14ac:dyDescent="0.25">
      <c r="A4006" s="41">
        <v>14111530</v>
      </c>
      <c r="B4006" s="9" t="str">
        <f t="shared" ca="1" si="57"/>
        <v>Papel de notas autoadhesivas</v>
      </c>
      <c r="C4006" s="33" t="s">
        <v>55</v>
      </c>
      <c r="D4006" s="8">
        <v>3000</v>
      </c>
      <c r="E4006" s="11">
        <v>73.33</v>
      </c>
      <c r="F4006" s="10">
        <f t="shared" ca="1" si="58"/>
        <v>219990</v>
      </c>
    </row>
    <row r="4007" spans="1:6" x14ac:dyDescent="0.25">
      <c r="A4007" s="41">
        <v>60121702</v>
      </c>
      <c r="B4007" s="9" t="str">
        <f t="shared" ca="1" si="57"/>
        <v>Almohadilla para sellos de estampación de caucho</v>
      </c>
      <c r="C4007" s="33" t="s">
        <v>55</v>
      </c>
      <c r="D4007" s="8">
        <v>20</v>
      </c>
      <c r="E4007" s="11">
        <v>6000</v>
      </c>
      <c r="F4007" s="10">
        <f t="shared" ca="1" si="58"/>
        <v>120000</v>
      </c>
    </row>
    <row r="4008" spans="1:6" x14ac:dyDescent="0.25">
      <c r="A4008" s="41">
        <v>44122106</v>
      </c>
      <c r="B4008" s="9" t="str">
        <f t="shared" ca="1" si="57"/>
        <v>Alfileres o taches</v>
      </c>
      <c r="C4008" s="33" t="s">
        <v>55</v>
      </c>
      <c r="D4008" s="8">
        <v>350</v>
      </c>
      <c r="E4008" s="11">
        <v>228.57</v>
      </c>
      <c r="F4008" s="10">
        <f t="shared" ca="1" si="58"/>
        <v>79999.5</v>
      </c>
    </row>
    <row r="4009" spans="1:6" x14ac:dyDescent="0.25">
      <c r="A4009" s="41">
        <v>44101713</v>
      </c>
      <c r="B4009" s="9" t="str">
        <f t="shared" ca="1" si="57"/>
        <v>Contadores de copias</v>
      </c>
      <c r="C4009" s="33" t="s">
        <v>55</v>
      </c>
      <c r="D4009" s="8">
        <v>100</v>
      </c>
      <c r="E4009" s="11">
        <v>750</v>
      </c>
      <c r="F4009" s="10">
        <f t="shared" ca="1" si="58"/>
        <v>75000</v>
      </c>
    </row>
    <row r="4010" spans="1:6" x14ac:dyDescent="0.25">
      <c r="A4010" s="41">
        <v>44122101</v>
      </c>
      <c r="B4010" s="9" t="str">
        <f t="shared" ca="1" si="57"/>
        <v>Cauchos</v>
      </c>
      <c r="C4010" s="33" t="s">
        <v>49</v>
      </c>
      <c r="D4010" s="8">
        <v>2500</v>
      </c>
      <c r="E4010" s="11">
        <v>132</v>
      </c>
      <c r="F4010" s="10">
        <f t="shared" ca="1" si="58"/>
        <v>330000</v>
      </c>
    </row>
    <row r="4011" spans="1:6" x14ac:dyDescent="0.25">
      <c r="A4011" s="41">
        <v>44122101</v>
      </c>
      <c r="B4011" s="9" t="str">
        <f t="shared" ca="1" si="57"/>
        <v>Cauchos</v>
      </c>
      <c r="C4011" s="33" t="s">
        <v>49</v>
      </c>
      <c r="D4011" s="8">
        <v>2500</v>
      </c>
      <c r="E4011" s="11">
        <v>120</v>
      </c>
      <c r="F4011" s="10">
        <f t="shared" ca="1" si="58"/>
        <v>300000</v>
      </c>
    </row>
    <row r="4012" spans="1:6" x14ac:dyDescent="0.25">
      <c r="A4012" s="41">
        <v>44121804</v>
      </c>
      <c r="B4012" s="9" t="str">
        <f t="shared" ca="1" si="57"/>
        <v>Borradores</v>
      </c>
      <c r="C4012" s="33" t="s">
        <v>55</v>
      </c>
      <c r="D4012" s="8">
        <v>20</v>
      </c>
      <c r="E4012" s="11">
        <v>500</v>
      </c>
      <c r="F4012" s="10">
        <f t="shared" ca="1" si="58"/>
        <v>10000</v>
      </c>
    </row>
    <row r="4013" spans="1:6" x14ac:dyDescent="0.25">
      <c r="A4013" s="41">
        <v>44121802</v>
      </c>
      <c r="B4013" s="9" t="str">
        <f t="shared" ca="1" si="57"/>
        <v>Fluido de corrección</v>
      </c>
      <c r="C4013" s="33" t="s">
        <v>55</v>
      </c>
      <c r="D4013" s="8">
        <v>25</v>
      </c>
      <c r="E4013" s="11">
        <v>400</v>
      </c>
      <c r="F4013" s="10">
        <f t="shared" ca="1" si="58"/>
        <v>10000</v>
      </c>
    </row>
    <row r="4014" spans="1:6" x14ac:dyDescent="0.25">
      <c r="A4014" s="41">
        <v>31201512</v>
      </c>
      <c r="B4014" s="9" t="str">
        <f t="shared" ca="1" si="57"/>
        <v>Cinta transparente</v>
      </c>
      <c r="C4014" s="33" t="s">
        <v>55</v>
      </c>
      <c r="D4014" s="8">
        <v>2000</v>
      </c>
      <c r="E4014" s="11">
        <v>100</v>
      </c>
      <c r="F4014" s="10">
        <f t="shared" ca="1" si="58"/>
        <v>200000</v>
      </c>
    </row>
    <row r="4015" spans="1:6" x14ac:dyDescent="0.25">
      <c r="A4015" s="41">
        <v>31201512</v>
      </c>
      <c r="B4015" s="9" t="str">
        <f t="shared" ca="1" si="57"/>
        <v>Cinta transparente</v>
      </c>
      <c r="C4015" s="33" t="s">
        <v>55</v>
      </c>
      <c r="D4015" s="8">
        <v>1000</v>
      </c>
      <c r="E4015" s="11">
        <v>150</v>
      </c>
      <c r="F4015" s="10">
        <f t="shared" ca="1" si="58"/>
        <v>150000</v>
      </c>
    </row>
    <row r="4016" spans="1:6" x14ac:dyDescent="0.25">
      <c r="A4016" s="41">
        <v>44121635</v>
      </c>
      <c r="B4016" s="9" t="str">
        <f t="shared" ca="1" si="57"/>
        <v>Husos para cinta adhesiva</v>
      </c>
      <c r="C4016" s="33" t="s">
        <v>55</v>
      </c>
      <c r="D4016" s="8">
        <v>250</v>
      </c>
      <c r="E4016" s="11">
        <v>320</v>
      </c>
      <c r="F4016" s="10">
        <f t="shared" ca="1" si="58"/>
        <v>80000</v>
      </c>
    </row>
    <row r="4017" spans="1:6" x14ac:dyDescent="0.25">
      <c r="A4017" s="41">
        <v>44121635</v>
      </c>
      <c r="B4017" s="9" t="str">
        <f t="shared" ca="1" si="57"/>
        <v>Husos para cinta adhesiva</v>
      </c>
      <c r="C4017" s="33" t="s">
        <v>55</v>
      </c>
      <c r="D4017" s="8">
        <v>20</v>
      </c>
      <c r="E4017" s="11">
        <v>4000</v>
      </c>
      <c r="F4017" s="10">
        <f t="shared" ca="1" si="58"/>
        <v>80000</v>
      </c>
    </row>
    <row r="4018" spans="1:6" x14ac:dyDescent="0.25">
      <c r="A4018" s="41">
        <v>44121613</v>
      </c>
      <c r="B4018" s="9" t="str">
        <f t="shared" ca="1" si="57"/>
        <v>Removedores de grapas (saca ganchos)</v>
      </c>
      <c r="C4018" s="33" t="s">
        <v>55</v>
      </c>
      <c r="D4018" s="8">
        <v>200</v>
      </c>
      <c r="E4018" s="11">
        <v>700</v>
      </c>
      <c r="F4018" s="10">
        <f t="shared" ca="1" si="58"/>
        <v>140000</v>
      </c>
    </row>
    <row r="4019" spans="1:6" x14ac:dyDescent="0.25">
      <c r="A4019" s="41">
        <v>44121613</v>
      </c>
      <c r="B4019" s="9" t="str">
        <f t="shared" ca="1" si="57"/>
        <v>Removedores de grapas (saca ganchos)</v>
      </c>
      <c r="C4019" s="33" t="s">
        <v>55</v>
      </c>
      <c r="D4019" s="8">
        <v>500</v>
      </c>
      <c r="E4019" s="11">
        <v>70</v>
      </c>
      <c r="F4019" s="10">
        <f t="shared" ca="1" si="58"/>
        <v>35000</v>
      </c>
    </row>
    <row r="4020" spans="1:6" x14ac:dyDescent="0.25">
      <c r="A4020" s="41">
        <v>44121615</v>
      </c>
      <c r="B4020" s="9" t="str">
        <f t="shared" ca="1" si="57"/>
        <v>Grapadoras</v>
      </c>
      <c r="C4020" s="33" t="s">
        <v>55</v>
      </c>
      <c r="D4020" s="8">
        <v>500</v>
      </c>
      <c r="E4020" s="11">
        <v>300</v>
      </c>
      <c r="F4020" s="10">
        <f t="shared" ca="1" si="58"/>
        <v>150000</v>
      </c>
    </row>
    <row r="4021" spans="1:6" x14ac:dyDescent="0.25">
      <c r="A4021" s="41">
        <v>44122107</v>
      </c>
      <c r="B4021" s="9" t="str">
        <f t="shared" ref="B4021:B4047" ca="1" si="59">IFERROR(INDEX(UNSPSCDes,MATCH(INDIRECT(ADDRESS(ROW(),COLUMN()-1,4)),UNSPSCCode,0)),"")</f>
        <v>Grapas</v>
      </c>
      <c r="C4021" s="33" t="s">
        <v>49</v>
      </c>
      <c r="D4021" s="8">
        <v>2500</v>
      </c>
      <c r="E4021" s="11">
        <v>80</v>
      </c>
      <c r="F4021" s="10">
        <f t="shared" ca="1" si="58"/>
        <v>200000</v>
      </c>
    </row>
    <row r="4022" spans="1:6" x14ac:dyDescent="0.25">
      <c r="A4022" s="41">
        <v>44122107</v>
      </c>
      <c r="B4022" s="9" t="str">
        <f t="shared" ca="1" si="59"/>
        <v>Grapas</v>
      </c>
      <c r="C4022" s="33" t="s">
        <v>49</v>
      </c>
      <c r="D4022" s="8">
        <v>100</v>
      </c>
      <c r="E4022" s="11">
        <v>150</v>
      </c>
      <c r="F4022" s="10">
        <f t="shared" ca="1" si="58"/>
        <v>15000</v>
      </c>
    </row>
    <row r="4023" spans="1:6" x14ac:dyDescent="0.25">
      <c r="A4023" s="41">
        <v>27112121</v>
      </c>
      <c r="B4023" s="9" t="str">
        <f t="shared" ca="1" si="59"/>
        <v>Grapa de ángulo</v>
      </c>
      <c r="C4023" s="33" t="s">
        <v>49</v>
      </c>
      <c r="D4023" s="8">
        <v>20</v>
      </c>
      <c r="E4023" s="11">
        <v>200</v>
      </c>
      <c r="F4023" s="10">
        <f t="shared" ca="1" si="58"/>
        <v>4000</v>
      </c>
    </row>
    <row r="4024" spans="1:6" x14ac:dyDescent="0.25">
      <c r="A4024" s="41">
        <v>44121619</v>
      </c>
      <c r="B4024" s="9" t="str">
        <f t="shared" ca="1" si="59"/>
        <v>Tajalápices manuales</v>
      </c>
      <c r="C4024" s="33" t="s">
        <v>55</v>
      </c>
      <c r="D4024" s="8">
        <v>25</v>
      </c>
      <c r="E4024" s="11">
        <v>1500</v>
      </c>
      <c r="F4024" s="10">
        <f t="shared" ca="1" si="58"/>
        <v>37500</v>
      </c>
    </row>
    <row r="4025" spans="1:6" x14ac:dyDescent="0.25">
      <c r="A4025" s="41">
        <v>44121618</v>
      </c>
      <c r="B4025" s="9" t="str">
        <f t="shared" ca="1" si="59"/>
        <v>Tijeras</v>
      </c>
      <c r="C4025" s="33" t="s">
        <v>55</v>
      </c>
      <c r="D4025" s="8">
        <v>500</v>
      </c>
      <c r="E4025" s="11">
        <v>20</v>
      </c>
      <c r="F4025" s="10">
        <f t="shared" ca="1" si="58"/>
        <v>10000</v>
      </c>
    </row>
    <row r="4026" spans="1:6" x14ac:dyDescent="0.25">
      <c r="A4026" s="43">
        <v>44111509</v>
      </c>
      <c r="B4026" s="9" t="str">
        <f t="shared" ca="1" si="59"/>
        <v>Sujetadores de esferos o lápices</v>
      </c>
      <c r="C4026" s="33" t="s">
        <v>55</v>
      </c>
      <c r="D4026" s="8">
        <v>200</v>
      </c>
      <c r="E4026" s="11">
        <v>145</v>
      </c>
      <c r="F4026" s="10">
        <f t="shared" ca="1" si="58"/>
        <v>29000</v>
      </c>
    </row>
    <row r="4027" spans="1:6" x14ac:dyDescent="0.25">
      <c r="A4027" s="41">
        <v>44122012</v>
      </c>
      <c r="B4027" s="9" t="str">
        <f t="shared" ca="1" si="59"/>
        <v>Portapapeles</v>
      </c>
      <c r="C4027" s="33" t="s">
        <v>55</v>
      </c>
      <c r="D4027" s="8">
        <v>400</v>
      </c>
      <c r="E4027" s="11">
        <v>195</v>
      </c>
      <c r="F4027" s="10">
        <f t="shared" ca="1" si="58"/>
        <v>78000</v>
      </c>
    </row>
    <row r="4028" spans="1:6" x14ac:dyDescent="0.25">
      <c r="A4028" s="41">
        <v>27111503</v>
      </c>
      <c r="B4028" s="9" t="str">
        <f t="shared" ca="1" si="59"/>
        <v>Cuchillos de diversas aplicaciones</v>
      </c>
      <c r="C4028" s="33" t="s">
        <v>55</v>
      </c>
      <c r="D4028" s="8">
        <v>40</v>
      </c>
      <c r="E4028" s="11">
        <v>80</v>
      </c>
      <c r="F4028" s="10">
        <f t="shared" ca="1" si="58"/>
        <v>3200</v>
      </c>
    </row>
    <row r="4029" spans="1:6" x14ac:dyDescent="0.25">
      <c r="A4029" s="41">
        <v>43211802</v>
      </c>
      <c r="B4029" s="9" t="str">
        <f t="shared" ca="1" si="59"/>
        <v>Almohadillas (pads) para mouse</v>
      </c>
      <c r="C4029" s="33" t="s">
        <v>55</v>
      </c>
      <c r="D4029" s="8">
        <v>300</v>
      </c>
      <c r="E4029" s="11">
        <v>370</v>
      </c>
      <c r="F4029" s="10">
        <f t="shared" ca="1" si="58"/>
        <v>111000</v>
      </c>
    </row>
    <row r="4030" spans="1:6" x14ac:dyDescent="0.25">
      <c r="A4030" s="41">
        <v>44101602</v>
      </c>
      <c r="B4030" s="9" t="str">
        <f t="shared" ca="1" si="59"/>
        <v>Máquinas perforadoras o para unir papel</v>
      </c>
      <c r="C4030" s="33" t="s">
        <v>55</v>
      </c>
      <c r="D4030" s="8">
        <v>300</v>
      </c>
      <c r="E4030" s="11">
        <v>1200</v>
      </c>
      <c r="F4030" s="10">
        <f t="shared" ca="1" si="58"/>
        <v>360000</v>
      </c>
    </row>
    <row r="4031" spans="1:6" x14ac:dyDescent="0.25">
      <c r="A4031" s="41">
        <v>44122002</v>
      </c>
      <c r="B4031" s="9" t="str">
        <f t="shared" ca="1" si="59"/>
        <v>Protectores de hojas</v>
      </c>
      <c r="C4031" s="33" t="s">
        <v>74</v>
      </c>
      <c r="D4031" s="8">
        <v>800</v>
      </c>
      <c r="E4031" s="11">
        <v>37.5</v>
      </c>
      <c r="F4031" s="10">
        <f t="shared" ca="1" si="58"/>
        <v>30000</v>
      </c>
    </row>
    <row r="4032" spans="1:6" x14ac:dyDescent="0.25">
      <c r="A4032" s="41">
        <v>44122010</v>
      </c>
      <c r="B4032" s="9" t="str">
        <f t="shared" ca="1" si="59"/>
        <v>Separadores</v>
      </c>
      <c r="C4032" s="33" t="s">
        <v>74</v>
      </c>
      <c r="D4032" s="8">
        <v>500</v>
      </c>
      <c r="E4032" s="11">
        <v>50</v>
      </c>
      <c r="F4032" s="10">
        <f t="shared" ca="1" si="58"/>
        <v>25000</v>
      </c>
    </row>
    <row r="4033" spans="1:6" x14ac:dyDescent="0.25">
      <c r="A4033" s="41">
        <v>44122003</v>
      </c>
      <c r="B4033" s="9" t="str">
        <f t="shared" ca="1" si="59"/>
        <v>Carpetas</v>
      </c>
      <c r="C4033" s="33" t="s">
        <v>55</v>
      </c>
      <c r="D4033" s="8">
        <v>500</v>
      </c>
      <c r="E4033" s="11">
        <v>300</v>
      </c>
      <c r="F4033" s="10">
        <f t="shared" ca="1" si="58"/>
        <v>150000</v>
      </c>
    </row>
    <row r="4034" spans="1:6" x14ac:dyDescent="0.25">
      <c r="A4034" s="41">
        <v>44122003</v>
      </c>
      <c r="B4034" s="9" t="str">
        <f t="shared" ca="1" si="59"/>
        <v>Carpetas</v>
      </c>
      <c r="C4034" s="33" t="s">
        <v>55</v>
      </c>
      <c r="D4034" s="8">
        <v>600</v>
      </c>
      <c r="E4034" s="11">
        <v>700</v>
      </c>
      <c r="F4034" s="10">
        <f t="shared" ca="1" si="58"/>
        <v>420000</v>
      </c>
    </row>
    <row r="4035" spans="1:6" x14ac:dyDescent="0.25">
      <c r="A4035" s="41">
        <v>44122003</v>
      </c>
      <c r="B4035" s="9" t="str">
        <f t="shared" ca="1" si="59"/>
        <v>Carpetas</v>
      </c>
      <c r="C4035" s="33" t="s">
        <v>55</v>
      </c>
      <c r="D4035" s="8">
        <v>600</v>
      </c>
      <c r="E4035" s="11">
        <v>780</v>
      </c>
      <c r="F4035" s="10">
        <f t="shared" ca="1" si="58"/>
        <v>468000</v>
      </c>
    </row>
    <row r="4036" spans="1:6" x14ac:dyDescent="0.25">
      <c r="A4036" s="41">
        <v>44121503</v>
      </c>
      <c r="B4036" s="9" t="str">
        <f t="shared" ca="1" si="59"/>
        <v>Sobres</v>
      </c>
      <c r="C4036" s="33" t="s">
        <v>49</v>
      </c>
      <c r="D4036" s="8">
        <v>10</v>
      </c>
      <c r="E4036" s="11">
        <v>150</v>
      </c>
      <c r="F4036" s="10">
        <f t="shared" ca="1" si="58"/>
        <v>1500</v>
      </c>
    </row>
    <row r="4037" spans="1:6" x14ac:dyDescent="0.25">
      <c r="A4037" s="41">
        <v>44122011</v>
      </c>
      <c r="B4037" s="9" t="str">
        <f t="shared" ca="1" si="59"/>
        <v>Folders</v>
      </c>
      <c r="C4037" s="33" t="s">
        <v>49</v>
      </c>
      <c r="D4037" s="8">
        <v>200</v>
      </c>
      <c r="E4037" s="11">
        <v>350</v>
      </c>
      <c r="F4037" s="10">
        <f t="shared" ca="1" si="58"/>
        <v>70000</v>
      </c>
    </row>
    <row r="4038" spans="1:6" x14ac:dyDescent="0.25">
      <c r="A4038" s="41">
        <v>44122011</v>
      </c>
      <c r="B4038" s="9" t="str">
        <f t="shared" ca="1" si="59"/>
        <v>Folders</v>
      </c>
      <c r="C4038" s="33" t="s">
        <v>55</v>
      </c>
      <c r="D4038" s="8">
        <v>350</v>
      </c>
      <c r="E4038" s="11">
        <v>428.57</v>
      </c>
      <c r="F4038" s="10">
        <f t="shared" ca="1" si="58"/>
        <v>149999.5</v>
      </c>
    </row>
    <row r="4039" spans="1:6" x14ac:dyDescent="0.25">
      <c r="A4039" s="41">
        <v>44122011</v>
      </c>
      <c r="B4039" s="9" t="str">
        <f t="shared" ca="1" si="59"/>
        <v>Folders</v>
      </c>
      <c r="C4039" s="33" t="s">
        <v>49</v>
      </c>
      <c r="D4039" s="8">
        <v>50</v>
      </c>
      <c r="E4039" s="11">
        <v>1700</v>
      </c>
      <c r="F4039" s="10">
        <f t="shared" ca="1" si="58"/>
        <v>85000</v>
      </c>
    </row>
    <row r="4040" spans="1:6" x14ac:dyDescent="0.25">
      <c r="A4040" s="41">
        <v>44122011</v>
      </c>
      <c r="B4040" s="9" t="str">
        <f t="shared" ca="1" si="59"/>
        <v>Folders</v>
      </c>
      <c r="C4040" s="33" t="s">
        <v>49</v>
      </c>
      <c r="D4040" s="8">
        <v>15</v>
      </c>
      <c r="E4040" s="11">
        <v>6666.67</v>
      </c>
      <c r="F4040" s="10">
        <f t="shared" ca="1" si="58"/>
        <v>100000.05</v>
      </c>
    </row>
    <row r="4041" spans="1:6" x14ac:dyDescent="0.25">
      <c r="A4041" s="41">
        <v>44122011</v>
      </c>
      <c r="B4041" s="9" t="str">
        <f t="shared" ca="1" si="59"/>
        <v>Folders</v>
      </c>
      <c r="C4041" s="33" t="s">
        <v>49</v>
      </c>
      <c r="D4041" s="8">
        <v>300</v>
      </c>
      <c r="E4041" s="11">
        <v>316.67</v>
      </c>
      <c r="F4041" s="10">
        <f t="shared" ca="1" si="58"/>
        <v>95001</v>
      </c>
    </row>
    <row r="4042" spans="1:6" x14ac:dyDescent="0.25">
      <c r="A4042" s="41">
        <v>14111812</v>
      </c>
      <c r="B4042" s="9" t="str">
        <f t="shared" ca="1" si="59"/>
        <v>Formatos o libros de inventarios</v>
      </c>
      <c r="C4042" s="33" t="s">
        <v>55</v>
      </c>
      <c r="D4042" s="8">
        <v>1000</v>
      </c>
      <c r="E4042" s="11">
        <v>250</v>
      </c>
      <c r="F4042" s="10">
        <f t="shared" ca="1" si="58"/>
        <v>250000</v>
      </c>
    </row>
    <row r="4043" spans="1:6" x14ac:dyDescent="0.25">
      <c r="A4043" s="41">
        <v>44112001</v>
      </c>
      <c r="B4043" s="9" t="str">
        <f t="shared" ca="1" si="59"/>
        <v>Libretas de direcciones o repuestos</v>
      </c>
      <c r="C4043" s="33" t="s">
        <v>55</v>
      </c>
      <c r="D4043" s="8">
        <v>1000</v>
      </c>
      <c r="E4043" s="11">
        <v>70</v>
      </c>
      <c r="F4043" s="10">
        <f t="shared" ca="1" si="58"/>
        <v>70000</v>
      </c>
    </row>
    <row r="4044" spans="1:6" x14ac:dyDescent="0.25">
      <c r="A4044" s="41">
        <v>44112001</v>
      </c>
      <c r="B4044" s="9" t="str">
        <f t="shared" ca="1" si="59"/>
        <v>Libretas de direcciones o repuestos</v>
      </c>
      <c r="C4044" s="33" t="s">
        <v>55</v>
      </c>
      <c r="D4044" s="8">
        <v>1000</v>
      </c>
      <c r="E4044" s="11">
        <v>50</v>
      </c>
      <c r="F4044" s="10">
        <f t="shared" ca="1" si="58"/>
        <v>50000</v>
      </c>
    </row>
    <row r="4045" spans="1:6" x14ac:dyDescent="0.25">
      <c r="A4045" s="41">
        <v>44121503</v>
      </c>
      <c r="B4045" s="9" t="str">
        <f t="shared" ca="1" si="59"/>
        <v>Sobres</v>
      </c>
      <c r="C4045" s="33" t="s">
        <v>49</v>
      </c>
      <c r="D4045" s="8">
        <v>100</v>
      </c>
      <c r="E4045" s="11">
        <v>2000</v>
      </c>
      <c r="F4045" s="10">
        <f t="shared" ca="1" si="58"/>
        <v>200000</v>
      </c>
    </row>
    <row r="4046" spans="1:6" x14ac:dyDescent="0.25">
      <c r="A4046" s="41">
        <v>44121503</v>
      </c>
      <c r="B4046" s="9" t="str">
        <f t="shared" ca="1" si="59"/>
        <v>Sobres</v>
      </c>
      <c r="C4046" s="33" t="s">
        <v>49</v>
      </c>
      <c r="D4046" s="8">
        <v>20</v>
      </c>
      <c r="E4046" s="11">
        <v>12500</v>
      </c>
      <c r="F4046" s="10">
        <f t="shared" ca="1" si="58"/>
        <v>250000</v>
      </c>
    </row>
    <row r="4047" spans="1:6" x14ac:dyDescent="0.25">
      <c r="A4047" s="41">
        <v>44122011</v>
      </c>
      <c r="B4047" s="9" t="str">
        <f t="shared" ca="1" si="59"/>
        <v>Folders</v>
      </c>
      <c r="C4047" s="33" t="s">
        <v>49</v>
      </c>
      <c r="D4047" s="8">
        <v>100</v>
      </c>
      <c r="E4047" s="11">
        <v>1900</v>
      </c>
      <c r="F4047" s="10">
        <f t="shared" ca="1" si="58"/>
        <v>190000</v>
      </c>
    </row>
    <row r="4048" spans="1:6" x14ac:dyDescent="0.25">
      <c r="A4048" s="40"/>
      <c r="B4048" s="40"/>
      <c r="C4048" s="40"/>
      <c r="D4048" s="40"/>
      <c r="E4048" s="13" t="s">
        <v>87</v>
      </c>
      <c r="F4048" s="14">
        <f ca="1">SUM(Table351113[MONTO TOTAL ESTIMADO])</f>
        <v>8494486.0500000007</v>
      </c>
    </row>
    <row r="4049" spans="1:6" ht="15.75" thickBot="1" x14ac:dyDescent="0.3">
      <c r="A4049" s="42"/>
      <c r="B4049" s="42"/>
      <c r="C4049" s="42"/>
      <c r="D4049" s="42"/>
      <c r="E4049" s="42"/>
      <c r="F4049" s="42"/>
    </row>
    <row r="4050" spans="1:6" ht="23.25" thickBot="1" x14ac:dyDescent="0.3">
      <c r="A4050" s="4" t="s">
        <v>19</v>
      </c>
      <c r="B4050" s="4" t="s">
        <v>20</v>
      </c>
      <c r="C4050" s="4" t="s">
        <v>21</v>
      </c>
      <c r="D4050" s="4" t="s">
        <v>22</v>
      </c>
      <c r="E4050" s="4" t="s">
        <v>23</v>
      </c>
      <c r="F4050" s="4" t="s">
        <v>24</v>
      </c>
    </row>
    <row r="4051" spans="1:6" ht="15.75" thickBot="1" x14ac:dyDescent="0.3">
      <c r="A4051" s="32" t="s">
        <v>245</v>
      </c>
      <c r="B4051" s="32" t="s">
        <v>246</v>
      </c>
      <c r="C4051" s="32" t="s">
        <v>27</v>
      </c>
      <c r="D4051" s="6" t="s">
        <v>247</v>
      </c>
      <c r="E4051" s="32" t="s">
        <v>29</v>
      </c>
      <c r="F4051" s="6"/>
    </row>
    <row r="4052" spans="1:6" ht="15.75" thickBot="1" x14ac:dyDescent="0.3">
      <c r="A4052" s="35" t="s">
        <v>31</v>
      </c>
      <c r="B4052" s="7" t="s">
        <v>32</v>
      </c>
      <c r="C4052" s="15">
        <v>45474</v>
      </c>
      <c r="D4052" s="35" t="s">
        <v>33</v>
      </c>
      <c r="E4052" s="7" t="s">
        <v>34</v>
      </c>
      <c r="F4052" s="6"/>
    </row>
    <row r="4053" spans="1:6" ht="15.75" thickBot="1" x14ac:dyDescent="0.3">
      <c r="A4053" s="36"/>
      <c r="B4053" s="7" t="s">
        <v>36</v>
      </c>
      <c r="C4053" s="5">
        <f>IF(C4052="","",IF(AND(MONTH(C4052)&gt;=1,MONTH(C4052)&lt;=3),1,IF(AND(MONTH(C4052)&gt;=4,MONTH(C4052)&lt;=6),2,IF(AND(MONTH(C4052)&gt;=7,MONTH(C4052)&lt;=9),3,4))))</f>
        <v>3</v>
      </c>
      <c r="D4053" s="36"/>
      <c r="E4053" s="7" t="s">
        <v>37</v>
      </c>
      <c r="F4053" s="6"/>
    </row>
    <row r="4054" spans="1:6" ht="15.75" thickBot="1" x14ac:dyDescent="0.3">
      <c r="A4054" s="36"/>
      <c r="B4054" s="7" t="s">
        <v>39</v>
      </c>
      <c r="C4054" s="15">
        <v>45565</v>
      </c>
      <c r="D4054" s="36"/>
      <c r="E4054" s="7" t="s">
        <v>40</v>
      </c>
      <c r="F4054" s="6"/>
    </row>
    <row r="4055" spans="1:6" ht="15.75" thickBot="1" x14ac:dyDescent="0.3">
      <c r="A4055" s="36"/>
      <c r="B4055" s="7" t="s">
        <v>36</v>
      </c>
      <c r="C4055" s="5">
        <f>IF(C4054="","",IF(AND(MONTH(C4054)&gt;=1,MONTH(C4054)&lt;=3),1,IF(AND(MONTH(C4054)&gt;=4,MONTH(C4054)&lt;=6),2,IF(AND(MONTH(C4054)&gt;=7,MONTH(C4054)&lt;=9),3,4))))</f>
        <v>3</v>
      </c>
      <c r="D4055" s="36"/>
      <c r="E4055" s="7" t="s">
        <v>41</v>
      </c>
      <c r="F4055" s="6"/>
    </row>
    <row r="4056" spans="1:6" ht="15.75" thickBot="1" x14ac:dyDescent="0.3">
      <c r="A4056" s="40"/>
      <c r="B4056" s="40"/>
      <c r="C4056" s="40"/>
      <c r="D4056" s="40"/>
      <c r="E4056" s="40"/>
      <c r="F4056" s="40"/>
    </row>
    <row r="4057" spans="1:6" ht="15.75" thickBot="1" x14ac:dyDescent="0.3">
      <c r="A4057" s="12" t="s">
        <v>42</v>
      </c>
      <c r="B4057" s="12" t="s">
        <v>43</v>
      </c>
      <c r="C4057" s="12" t="s">
        <v>44</v>
      </c>
      <c r="D4057" s="12" t="s">
        <v>45</v>
      </c>
      <c r="E4057" s="12" t="s">
        <v>46</v>
      </c>
      <c r="F4057" s="12" t="s">
        <v>47</v>
      </c>
    </row>
    <row r="4058" spans="1:6" x14ac:dyDescent="0.25">
      <c r="A4058" s="8">
        <v>46101801</v>
      </c>
      <c r="B4058" s="9" t="str">
        <f t="shared" ref="B4058:B4070" ca="1" si="60">IFERROR(INDEX(UNSPSCDes,MATCH(INDIRECT(ADDRESS(ROW(),COLUMN()-1,4)),UNSPSCCode,0)),"")</f>
        <v>Estuches para revólveres</v>
      </c>
      <c r="C4058" s="8" t="s">
        <v>55</v>
      </c>
      <c r="D4058" s="8">
        <v>1000</v>
      </c>
      <c r="E4058" s="11">
        <v>1003</v>
      </c>
      <c r="F4058" s="10">
        <f t="shared" ref="F4058:F4070" ca="1" si="61">INDIRECT(ADDRESS(ROW(),COLUMN()-2,4))*INDIRECT(ADDRESS(ROW(),COLUMN()-1,4))</f>
        <v>1003000</v>
      </c>
    </row>
    <row r="4059" spans="1:6" x14ac:dyDescent="0.25">
      <c r="A4059" s="8">
        <v>46101801</v>
      </c>
      <c r="B4059" s="9" t="str">
        <f t="shared" ca="1" si="60"/>
        <v>Estuches para revólveres</v>
      </c>
      <c r="C4059" s="33" t="s">
        <v>55</v>
      </c>
      <c r="D4059" s="8">
        <v>1000</v>
      </c>
      <c r="E4059" s="11">
        <v>708</v>
      </c>
      <c r="F4059" s="10">
        <f t="shared" ca="1" si="61"/>
        <v>708000</v>
      </c>
    </row>
    <row r="4060" spans="1:6" x14ac:dyDescent="0.25">
      <c r="A4060" s="8">
        <v>53121705</v>
      </c>
      <c r="B4060" s="9" t="str">
        <f t="shared" ca="1" si="60"/>
        <v>Estuches para equipos</v>
      </c>
      <c r="C4060" s="33" t="s">
        <v>55</v>
      </c>
      <c r="D4060" s="8">
        <v>1000</v>
      </c>
      <c r="E4060" s="11">
        <v>413</v>
      </c>
      <c r="F4060" s="10">
        <f t="shared" ca="1" si="61"/>
        <v>413000</v>
      </c>
    </row>
    <row r="4061" spans="1:6" x14ac:dyDescent="0.25">
      <c r="A4061" s="8">
        <v>53121705</v>
      </c>
      <c r="B4061" s="9" t="str">
        <f t="shared" ca="1" si="60"/>
        <v>Estuches para equipos</v>
      </c>
      <c r="C4061" s="33" t="s">
        <v>55</v>
      </c>
      <c r="D4061" s="8">
        <v>1000</v>
      </c>
      <c r="E4061" s="11">
        <v>1416</v>
      </c>
      <c r="F4061" s="10">
        <f t="shared" ca="1" si="61"/>
        <v>1416000</v>
      </c>
    </row>
    <row r="4062" spans="1:6" x14ac:dyDescent="0.25">
      <c r="A4062" s="8">
        <v>46171515</v>
      </c>
      <c r="B4062" s="9" t="str">
        <f t="shared" ca="1" si="60"/>
        <v>Cadenas de llaves o estuches de llaves</v>
      </c>
      <c r="C4062" s="33" t="s">
        <v>55</v>
      </c>
      <c r="D4062" s="8">
        <v>1000</v>
      </c>
      <c r="E4062" s="11">
        <v>236</v>
      </c>
      <c r="F4062" s="10">
        <f t="shared" ca="1" si="61"/>
        <v>236000</v>
      </c>
    </row>
    <row r="4063" spans="1:6" x14ac:dyDescent="0.25">
      <c r="A4063" s="8">
        <v>46151601</v>
      </c>
      <c r="B4063" s="9" t="str">
        <f t="shared" ca="1" si="60"/>
        <v>Esposas</v>
      </c>
      <c r="C4063" s="33" t="s">
        <v>55</v>
      </c>
      <c r="D4063" s="8">
        <v>1000</v>
      </c>
      <c r="E4063" s="11">
        <v>767</v>
      </c>
      <c r="F4063" s="10">
        <f t="shared" ca="1" si="61"/>
        <v>767000</v>
      </c>
    </row>
    <row r="4064" spans="1:6" x14ac:dyDescent="0.25">
      <c r="A4064" s="8">
        <v>53102501</v>
      </c>
      <c r="B4064" s="9" t="str">
        <f t="shared" ca="1" si="60"/>
        <v>Cinturones o tirantes</v>
      </c>
      <c r="C4064" s="33" t="s">
        <v>55</v>
      </c>
      <c r="D4064" s="8">
        <v>1000</v>
      </c>
      <c r="E4064" s="11">
        <v>1298</v>
      </c>
      <c r="F4064" s="10">
        <f t="shared" ca="1" si="61"/>
        <v>1298000</v>
      </c>
    </row>
    <row r="4065" spans="1:6" x14ac:dyDescent="0.25">
      <c r="A4065" s="8">
        <v>46151601</v>
      </c>
      <c r="B4065" s="9" t="str">
        <f t="shared" ca="1" si="60"/>
        <v>Esposas</v>
      </c>
      <c r="C4065" s="33" t="s">
        <v>55</v>
      </c>
      <c r="D4065" s="8">
        <v>1000</v>
      </c>
      <c r="E4065" s="11">
        <v>1711</v>
      </c>
      <c r="F4065" s="10">
        <f t="shared" ca="1" si="61"/>
        <v>1711000</v>
      </c>
    </row>
    <row r="4066" spans="1:6" x14ac:dyDescent="0.25">
      <c r="A4066" s="8">
        <v>46182501</v>
      </c>
      <c r="B4066" s="9" t="str">
        <f t="shared" ca="1" si="60"/>
        <v>Aerosol de pimienta</v>
      </c>
      <c r="C4066" s="33" t="s">
        <v>55</v>
      </c>
      <c r="D4066" s="8">
        <v>1000</v>
      </c>
      <c r="E4066" s="11">
        <v>1003</v>
      </c>
      <c r="F4066" s="10">
        <f t="shared" ca="1" si="61"/>
        <v>1003000</v>
      </c>
    </row>
    <row r="4067" spans="1:6" x14ac:dyDescent="0.25">
      <c r="A4067" s="8">
        <v>46101504</v>
      </c>
      <c r="B4067" s="9" t="str">
        <f t="shared" ca="1" si="60"/>
        <v>Pistolas</v>
      </c>
      <c r="C4067" s="33" t="s">
        <v>55</v>
      </c>
      <c r="D4067" s="8">
        <v>1000</v>
      </c>
      <c r="E4067" s="11">
        <v>11210</v>
      </c>
      <c r="F4067" s="10">
        <f t="shared" ca="1" si="61"/>
        <v>11210000</v>
      </c>
    </row>
    <row r="4068" spans="1:6" x14ac:dyDescent="0.25">
      <c r="A4068" s="8">
        <v>10141611</v>
      </c>
      <c r="B4068" s="9" t="str">
        <f t="shared" ca="1" si="60"/>
        <v>Soportes para correas</v>
      </c>
      <c r="C4068" s="33" t="s">
        <v>55</v>
      </c>
      <c r="D4068" s="8">
        <v>1000</v>
      </c>
      <c r="E4068" s="11">
        <v>295</v>
      </c>
      <c r="F4068" s="10">
        <f t="shared" ca="1" si="61"/>
        <v>295000</v>
      </c>
    </row>
    <row r="4069" spans="1:6" x14ac:dyDescent="0.25">
      <c r="A4069" s="8">
        <v>53121705</v>
      </c>
      <c r="B4069" s="9" t="str">
        <f t="shared" ca="1" si="60"/>
        <v>Estuches para equipos</v>
      </c>
      <c r="C4069" s="33" t="s">
        <v>55</v>
      </c>
      <c r="D4069" s="8">
        <v>1000</v>
      </c>
      <c r="E4069" s="11">
        <v>413</v>
      </c>
      <c r="F4069" s="10">
        <f t="shared" ca="1" si="61"/>
        <v>413000</v>
      </c>
    </row>
    <row r="4070" spans="1:6" x14ac:dyDescent="0.25">
      <c r="A4070" s="8">
        <v>53121705</v>
      </c>
      <c r="B4070" s="9" t="str">
        <f t="shared" ca="1" si="60"/>
        <v>Estuches para equipos</v>
      </c>
      <c r="C4070" s="33" t="s">
        <v>55</v>
      </c>
      <c r="D4070" s="8">
        <v>1000</v>
      </c>
      <c r="E4070" s="11">
        <v>531</v>
      </c>
      <c r="F4070" s="10">
        <f t="shared" ca="1" si="61"/>
        <v>531000</v>
      </c>
    </row>
    <row r="4071" spans="1:6" x14ac:dyDescent="0.25">
      <c r="A4071" s="40"/>
      <c r="B4071" s="40"/>
      <c r="C4071" s="40"/>
      <c r="D4071" s="40"/>
      <c r="E4071" s="13" t="s">
        <v>87</v>
      </c>
      <c r="F4071" s="14">
        <f ca="1">SUM(Table352114[MONTO TOTAL ESTIMADO])</f>
        <v>21004000</v>
      </c>
    </row>
    <row r="4072" spans="1:6" ht="15.75" thickBot="1" x14ac:dyDescent="0.3">
      <c r="A4072" s="42"/>
      <c r="B4072" s="42"/>
      <c r="C4072" s="42"/>
      <c r="D4072" s="42"/>
      <c r="E4072" s="42"/>
      <c r="F4072" s="42"/>
    </row>
    <row r="4073" spans="1:6" ht="23.25" thickBot="1" x14ac:dyDescent="0.3">
      <c r="A4073" s="4" t="s">
        <v>19</v>
      </c>
      <c r="B4073" s="4" t="s">
        <v>20</v>
      </c>
      <c r="C4073" s="4" t="s">
        <v>21</v>
      </c>
      <c r="D4073" s="4" t="s">
        <v>22</v>
      </c>
      <c r="E4073" s="4" t="s">
        <v>23</v>
      </c>
      <c r="F4073" s="4" t="s">
        <v>24</v>
      </c>
    </row>
    <row r="4074" spans="1:6" ht="15.75" thickBot="1" x14ac:dyDescent="0.3">
      <c r="A4074" s="32" t="s">
        <v>256</v>
      </c>
      <c r="B4074" s="32" t="s">
        <v>257</v>
      </c>
      <c r="C4074" s="32" t="s">
        <v>129</v>
      </c>
      <c r="D4074" s="6" t="s">
        <v>130</v>
      </c>
      <c r="E4074" s="32" t="s">
        <v>29</v>
      </c>
      <c r="F4074" s="6"/>
    </row>
    <row r="4075" spans="1:6" ht="15.75" thickBot="1" x14ac:dyDescent="0.3">
      <c r="A4075" s="35" t="s">
        <v>31</v>
      </c>
      <c r="B4075" s="7" t="s">
        <v>32</v>
      </c>
      <c r="C4075" s="15">
        <v>45474</v>
      </c>
      <c r="D4075" s="35" t="s">
        <v>33</v>
      </c>
      <c r="E4075" s="7" t="s">
        <v>34</v>
      </c>
      <c r="F4075" s="6"/>
    </row>
    <row r="4076" spans="1:6" ht="15.75" thickBot="1" x14ac:dyDescent="0.3">
      <c r="A4076" s="36"/>
      <c r="B4076" s="7" t="s">
        <v>36</v>
      </c>
      <c r="C4076" s="5">
        <f>IF(C4075="","",IF(AND(MONTH(C4075)&gt;=1,MONTH(C4075)&lt;=3),1,IF(AND(MONTH(C4075)&gt;=4,MONTH(C4075)&lt;=6),2,IF(AND(MONTH(C4075)&gt;=7,MONTH(C4075)&lt;=9),3,4))))</f>
        <v>3</v>
      </c>
      <c r="D4076" s="36"/>
      <c r="E4076" s="7" t="s">
        <v>37</v>
      </c>
      <c r="F4076" s="6"/>
    </row>
    <row r="4077" spans="1:6" ht="15.75" thickBot="1" x14ac:dyDescent="0.3">
      <c r="A4077" s="36"/>
      <c r="B4077" s="7" t="s">
        <v>39</v>
      </c>
      <c r="C4077" s="15">
        <v>45565</v>
      </c>
      <c r="D4077" s="36"/>
      <c r="E4077" s="7" t="s">
        <v>40</v>
      </c>
      <c r="F4077" s="6"/>
    </row>
    <row r="4078" spans="1:6" ht="15.75" thickBot="1" x14ac:dyDescent="0.3">
      <c r="A4078" s="36"/>
      <c r="B4078" s="7" t="s">
        <v>36</v>
      </c>
      <c r="C4078" s="5">
        <f>IF(C4077="","",IF(AND(MONTH(C4077)&gt;=1,MONTH(C4077)&lt;=3),1,IF(AND(MONTH(C4077)&gt;=4,MONTH(C4077)&lt;=6),2,IF(AND(MONTH(C4077)&gt;=7,MONTH(C4077)&lt;=9),3,4))))</f>
        <v>3</v>
      </c>
      <c r="D4078" s="36"/>
      <c r="E4078" s="7" t="s">
        <v>41</v>
      </c>
      <c r="F4078" s="6"/>
    </row>
    <row r="4079" spans="1:6" ht="15.75" thickBot="1" x14ac:dyDescent="0.3">
      <c r="A4079" s="40"/>
      <c r="B4079" s="40"/>
      <c r="C4079" s="40"/>
      <c r="D4079" s="40"/>
      <c r="E4079" s="40"/>
      <c r="F4079" s="40"/>
    </row>
    <row r="4080" spans="1:6" ht="15.75" thickBot="1" x14ac:dyDescent="0.3">
      <c r="A4080" s="12" t="s">
        <v>42</v>
      </c>
      <c r="B4080" s="12" t="s">
        <v>43</v>
      </c>
      <c r="C4080" s="12" t="s">
        <v>44</v>
      </c>
      <c r="D4080" s="12" t="s">
        <v>45</v>
      </c>
      <c r="E4080" s="12" t="s">
        <v>46</v>
      </c>
      <c r="F4080" s="12" t="s">
        <v>47</v>
      </c>
    </row>
    <row r="4081" spans="1:6" x14ac:dyDescent="0.25">
      <c r="A4081" s="8">
        <v>82101601</v>
      </c>
      <c r="B4081" s="9" t="str">
        <f ca="1">IFERROR(INDEX(UNSPSCDes,MATCH(INDIRECT(ADDRESS(ROW(),COLUMN()-1,4)),UNSPSCCode,0)),"")</f>
        <v>Publicidad en radio</v>
      </c>
      <c r="C4081" s="8" t="s">
        <v>55</v>
      </c>
      <c r="D4081" s="8">
        <v>1</v>
      </c>
      <c r="E4081" s="11">
        <v>7434000</v>
      </c>
      <c r="F4081" s="10">
        <f ca="1">INDIRECT(ADDRESS(ROW(),COLUMN()-2,4))*INDIRECT(ADDRESS(ROW(),COLUMN()-1,4))</f>
        <v>7434000</v>
      </c>
    </row>
    <row r="4082" spans="1:6" x14ac:dyDescent="0.25">
      <c r="A4082" s="8">
        <v>82101602</v>
      </c>
      <c r="B4082" s="9" t="str">
        <f ca="1">IFERROR(INDEX(UNSPSCDes,MATCH(INDIRECT(ADDRESS(ROW(),COLUMN()-1,4)),UNSPSCCode,0)),"")</f>
        <v>Publicidad en televisión</v>
      </c>
      <c r="C4082" s="33" t="s">
        <v>55</v>
      </c>
      <c r="D4082" s="8">
        <v>1</v>
      </c>
      <c r="E4082" s="11">
        <v>2992480</v>
      </c>
      <c r="F4082" s="10">
        <f ca="1">INDIRECT(ADDRESS(ROW(),COLUMN()-2,4))*INDIRECT(ADDRESS(ROW(),COLUMN()-1,4))</f>
        <v>2992480</v>
      </c>
    </row>
    <row r="4083" spans="1:6" x14ac:dyDescent="0.25">
      <c r="A4083" s="40"/>
      <c r="B4083" s="40"/>
      <c r="C4083" s="40"/>
      <c r="D4083" s="40"/>
      <c r="E4083" s="13" t="s">
        <v>87</v>
      </c>
      <c r="F4083" s="14">
        <f ca="1">SUM(Table353115[MONTO TOTAL ESTIMADO])</f>
        <v>10426480</v>
      </c>
    </row>
    <row r="4084" spans="1:6" ht="15.75" thickBot="1" x14ac:dyDescent="0.3">
      <c r="A4084" s="42"/>
      <c r="B4084" s="42"/>
      <c r="C4084" s="42"/>
      <c r="D4084" s="42"/>
      <c r="E4084" s="42"/>
      <c r="F4084" s="42"/>
    </row>
    <row r="4085" spans="1:6" ht="23.25" thickBot="1" x14ac:dyDescent="0.3">
      <c r="A4085" s="4" t="s">
        <v>19</v>
      </c>
      <c r="B4085" s="4" t="s">
        <v>20</v>
      </c>
      <c r="C4085" s="4" t="s">
        <v>21</v>
      </c>
      <c r="D4085" s="4" t="s">
        <v>22</v>
      </c>
      <c r="E4085" s="4" t="s">
        <v>23</v>
      </c>
      <c r="F4085" s="4" t="s">
        <v>24</v>
      </c>
    </row>
    <row r="4086" spans="1:6" ht="15.75" thickBot="1" x14ac:dyDescent="0.3">
      <c r="A4086" s="32" t="s">
        <v>260</v>
      </c>
      <c r="B4086" s="32" t="s">
        <v>261</v>
      </c>
      <c r="C4086" s="32" t="s">
        <v>27</v>
      </c>
      <c r="D4086" s="6" t="s">
        <v>28</v>
      </c>
      <c r="E4086" s="6" t="s">
        <v>262</v>
      </c>
      <c r="F4086" s="6"/>
    </row>
    <row r="4087" spans="1:6" ht="15.75" thickBot="1" x14ac:dyDescent="0.3">
      <c r="A4087" s="35" t="s">
        <v>31</v>
      </c>
      <c r="B4087" s="7" t="s">
        <v>32</v>
      </c>
      <c r="C4087" s="15">
        <v>45474</v>
      </c>
      <c r="D4087" s="35" t="s">
        <v>33</v>
      </c>
      <c r="E4087" s="7" t="s">
        <v>34</v>
      </c>
      <c r="F4087" s="6"/>
    </row>
    <row r="4088" spans="1:6" ht="15.75" thickBot="1" x14ac:dyDescent="0.3">
      <c r="A4088" s="36"/>
      <c r="B4088" s="7" t="s">
        <v>36</v>
      </c>
      <c r="C4088" s="5">
        <f>IF(C4087="","",IF(AND(MONTH(C4087)&gt;=1,MONTH(C4087)&lt;=3),1,IF(AND(MONTH(C4087)&gt;=4,MONTH(C4087)&lt;=6),2,IF(AND(MONTH(C4087)&gt;=7,MONTH(C4087)&lt;=9),3,4))))</f>
        <v>3</v>
      </c>
      <c r="D4088" s="36"/>
      <c r="E4088" s="7" t="s">
        <v>37</v>
      </c>
      <c r="F4088" s="6"/>
    </row>
    <row r="4089" spans="1:6" ht="15.75" thickBot="1" x14ac:dyDescent="0.3">
      <c r="A4089" s="36"/>
      <c r="B4089" s="7" t="s">
        <v>39</v>
      </c>
      <c r="C4089" s="15">
        <v>45565</v>
      </c>
      <c r="D4089" s="36"/>
      <c r="E4089" s="7" t="s">
        <v>40</v>
      </c>
      <c r="F4089" s="6"/>
    </row>
    <row r="4090" spans="1:6" ht="15.75" thickBot="1" x14ac:dyDescent="0.3">
      <c r="A4090" s="36"/>
      <c r="B4090" s="7" t="s">
        <v>36</v>
      </c>
      <c r="C4090" s="5">
        <f>IF(C4089="","",IF(AND(MONTH(C4089)&gt;=1,MONTH(C4089)&lt;=3),1,IF(AND(MONTH(C4089)&gt;=4,MONTH(C4089)&lt;=6),2,IF(AND(MONTH(C4089)&gt;=7,MONTH(C4089)&lt;=9),3,4))))</f>
        <v>3</v>
      </c>
      <c r="D4090" s="36"/>
      <c r="E4090" s="7" t="s">
        <v>41</v>
      </c>
      <c r="F4090" s="6"/>
    </row>
    <row r="4091" spans="1:6" ht="15.75" thickBot="1" x14ac:dyDescent="0.3">
      <c r="A4091" s="40"/>
      <c r="B4091" s="40"/>
      <c r="C4091" s="40"/>
      <c r="D4091" s="40"/>
      <c r="E4091" s="40"/>
      <c r="F4091" s="40"/>
    </row>
    <row r="4092" spans="1:6" ht="15.75" thickBot="1" x14ac:dyDescent="0.3">
      <c r="A4092" s="12" t="s">
        <v>42</v>
      </c>
      <c r="B4092" s="12" t="s">
        <v>43</v>
      </c>
      <c r="C4092" s="12" t="s">
        <v>44</v>
      </c>
      <c r="D4092" s="12" t="s">
        <v>45</v>
      </c>
      <c r="E4092" s="12" t="s">
        <v>46</v>
      </c>
      <c r="F4092" s="12" t="s">
        <v>47</v>
      </c>
    </row>
    <row r="4093" spans="1:6" x14ac:dyDescent="0.25">
      <c r="A4093" s="8">
        <v>30171501</v>
      </c>
      <c r="B4093" s="9" t="str">
        <f ca="1">IFERROR(INDEX(UNSPSCDes,MATCH(INDIRECT(ADDRESS(ROW(),COLUMN()-1,4)),UNSPSCCode,0)),"")</f>
        <v>Puertas de cristal</v>
      </c>
      <c r="C4093" s="8" t="s">
        <v>55</v>
      </c>
      <c r="D4093" s="8">
        <v>19</v>
      </c>
      <c r="E4093" s="11">
        <v>32800</v>
      </c>
      <c r="F4093" s="10">
        <f ca="1">INDIRECT(ADDRESS(ROW(),COLUMN()-2,4))*INDIRECT(ADDRESS(ROW(),COLUMN()-1,4))</f>
        <v>623200</v>
      </c>
    </row>
    <row r="4094" spans="1:6" x14ac:dyDescent="0.25">
      <c r="A4094" s="8">
        <v>30171605</v>
      </c>
      <c r="B4094" s="9" t="str">
        <f ca="1">IFERROR(INDEX(UNSPSCDes,MATCH(INDIRECT(ADDRESS(ROW(),COLUMN()-1,4)),UNSPSCCode,0)),"")</f>
        <v>Ventanas de apertura horizontal</v>
      </c>
      <c r="C4094" s="33" t="s">
        <v>55</v>
      </c>
      <c r="D4094" s="8">
        <v>160</v>
      </c>
      <c r="E4094" s="11">
        <v>2419</v>
      </c>
      <c r="F4094" s="10">
        <f ca="1">INDIRECT(ADDRESS(ROW(),COLUMN()-2,4))*INDIRECT(ADDRESS(ROW(),COLUMN()-1,4))</f>
        <v>387040</v>
      </c>
    </row>
    <row r="4095" spans="1:6" x14ac:dyDescent="0.25">
      <c r="A4095" s="8">
        <v>30171605</v>
      </c>
      <c r="B4095" s="9" t="str">
        <f ca="1">IFERROR(INDEX(UNSPSCDes,MATCH(INDIRECT(ADDRESS(ROW(),COLUMN()-1,4)),UNSPSCCode,0)),"")</f>
        <v>Ventanas de apertura horizontal</v>
      </c>
      <c r="C4095" s="33" t="s">
        <v>55</v>
      </c>
      <c r="D4095" s="8">
        <v>170</v>
      </c>
      <c r="E4095" s="11">
        <v>2419</v>
      </c>
      <c r="F4095" s="10">
        <f ca="1">INDIRECT(ADDRESS(ROW(),COLUMN()-2,4))*INDIRECT(ADDRESS(ROW(),COLUMN()-1,4))</f>
        <v>411230</v>
      </c>
    </row>
    <row r="4096" spans="1:6" x14ac:dyDescent="0.25">
      <c r="A4096" s="40"/>
      <c r="B4096" s="40"/>
      <c r="C4096" s="40"/>
      <c r="D4096" s="40"/>
      <c r="E4096" s="13" t="s">
        <v>87</v>
      </c>
      <c r="F4096" s="14">
        <f ca="1">SUM(Table354116[MONTO TOTAL ESTIMADO])</f>
        <v>1421470</v>
      </c>
    </row>
    <row r="4097" spans="1:6" ht="15.75" thickBot="1" x14ac:dyDescent="0.3">
      <c r="A4097" s="42"/>
      <c r="B4097" s="42"/>
      <c r="C4097" s="42"/>
      <c r="D4097" s="42"/>
      <c r="E4097" s="42"/>
      <c r="F4097" s="42"/>
    </row>
    <row r="4098" spans="1:6" ht="23.25" thickBot="1" x14ac:dyDescent="0.3">
      <c r="A4098" s="4" t="s">
        <v>19</v>
      </c>
      <c r="B4098" s="4" t="s">
        <v>20</v>
      </c>
      <c r="C4098" s="4" t="s">
        <v>21</v>
      </c>
      <c r="D4098" s="4" t="s">
        <v>22</v>
      </c>
      <c r="E4098" s="4" t="s">
        <v>23</v>
      </c>
      <c r="F4098" s="4" t="s">
        <v>24</v>
      </c>
    </row>
    <row r="4099" spans="1:6" ht="15.75" thickBot="1" x14ac:dyDescent="0.3">
      <c r="A4099" s="32" t="s">
        <v>265</v>
      </c>
      <c r="B4099" s="32" t="s">
        <v>266</v>
      </c>
      <c r="C4099" s="32" t="s">
        <v>27</v>
      </c>
      <c r="D4099" s="6" t="s">
        <v>28</v>
      </c>
      <c r="E4099" s="6" t="s">
        <v>262</v>
      </c>
      <c r="F4099" s="6"/>
    </row>
    <row r="4100" spans="1:6" ht="15.75" thickBot="1" x14ac:dyDescent="0.3">
      <c r="A4100" s="35" t="s">
        <v>31</v>
      </c>
      <c r="B4100" s="7" t="s">
        <v>32</v>
      </c>
      <c r="C4100" s="15">
        <v>45474</v>
      </c>
      <c r="D4100" s="35" t="s">
        <v>33</v>
      </c>
      <c r="E4100" s="7" t="s">
        <v>34</v>
      </c>
      <c r="F4100" s="6"/>
    </row>
    <row r="4101" spans="1:6" ht="15.75" thickBot="1" x14ac:dyDescent="0.3">
      <c r="A4101" s="36"/>
      <c r="B4101" s="7" t="s">
        <v>36</v>
      </c>
      <c r="C4101" s="5">
        <f>IF(C4100="","",IF(AND(MONTH(C4100)&gt;=1,MONTH(C4100)&lt;=3),1,IF(AND(MONTH(C4100)&gt;=4,MONTH(C4100)&lt;=6),2,IF(AND(MONTH(C4100)&gt;=7,MONTH(C4100)&lt;=9),3,4))))</f>
        <v>3</v>
      </c>
      <c r="D4101" s="36"/>
      <c r="E4101" s="7" t="s">
        <v>37</v>
      </c>
      <c r="F4101" s="6"/>
    </row>
    <row r="4102" spans="1:6" ht="15.75" thickBot="1" x14ac:dyDescent="0.3">
      <c r="A4102" s="36"/>
      <c r="B4102" s="7" t="s">
        <v>39</v>
      </c>
      <c r="C4102" s="15">
        <v>45565</v>
      </c>
      <c r="D4102" s="36"/>
      <c r="E4102" s="7" t="s">
        <v>40</v>
      </c>
      <c r="F4102" s="6"/>
    </row>
    <row r="4103" spans="1:6" ht="15.75" thickBot="1" x14ac:dyDescent="0.3">
      <c r="A4103" s="36"/>
      <c r="B4103" s="7" t="s">
        <v>36</v>
      </c>
      <c r="C4103" s="5">
        <f>IF(C4102="","",IF(AND(MONTH(C4102)&gt;=1,MONTH(C4102)&lt;=3),1,IF(AND(MONTH(C4102)&gt;=4,MONTH(C4102)&lt;=6),2,IF(AND(MONTH(C4102)&gt;=7,MONTH(C4102)&lt;=9),3,4))))</f>
        <v>3</v>
      </c>
      <c r="D4103" s="36"/>
      <c r="E4103" s="7" t="s">
        <v>41</v>
      </c>
      <c r="F4103" s="6"/>
    </row>
    <row r="4104" spans="1:6" ht="15.75" thickBot="1" x14ac:dyDescent="0.3">
      <c r="A4104" s="40"/>
      <c r="B4104" s="40"/>
      <c r="C4104" s="40"/>
      <c r="D4104" s="40"/>
      <c r="E4104" s="40"/>
      <c r="F4104" s="40"/>
    </row>
    <row r="4105" spans="1:6" ht="15.75" thickBot="1" x14ac:dyDescent="0.3">
      <c r="A4105" s="12" t="s">
        <v>42</v>
      </c>
      <c r="B4105" s="12" t="s">
        <v>43</v>
      </c>
      <c r="C4105" s="12" t="s">
        <v>44</v>
      </c>
      <c r="D4105" s="12" t="s">
        <v>45</v>
      </c>
      <c r="E4105" s="12" t="s">
        <v>46</v>
      </c>
      <c r="F4105" s="12" t="s">
        <v>47</v>
      </c>
    </row>
    <row r="4106" spans="1:6" x14ac:dyDescent="0.25">
      <c r="A4106" s="8">
        <v>30171706</v>
      </c>
      <c r="B4106" s="9" t="str">
        <f ca="1">IFERROR(INDEX(UNSPSCDes,MATCH(INDIRECT(ADDRESS(ROW(),COLUMN()-1,4)),UNSPSCCode,0)),"")</f>
        <v>Vidrio templado</v>
      </c>
      <c r="C4106" s="33" t="s">
        <v>55</v>
      </c>
      <c r="D4106" s="8">
        <v>500</v>
      </c>
      <c r="E4106" s="11">
        <v>2478</v>
      </c>
      <c r="F4106" s="10">
        <f ca="1">INDIRECT(ADDRESS(ROW(),COLUMN()-2,4))*INDIRECT(ADDRESS(ROW(),COLUMN()-1,4))</f>
        <v>1239000</v>
      </c>
    </row>
    <row r="4107" spans="1:6" x14ac:dyDescent="0.25">
      <c r="A4107" s="40"/>
      <c r="B4107" s="40"/>
      <c r="C4107" s="40"/>
      <c r="D4107" s="40"/>
      <c r="E4107" s="13" t="s">
        <v>87</v>
      </c>
      <c r="F4107" s="14">
        <f ca="1">SUM(Table355117[MONTO TOTAL ESTIMADO])</f>
        <v>1239000</v>
      </c>
    </row>
    <row r="4108" spans="1:6" ht="15.75" thickBot="1" x14ac:dyDescent="0.3">
      <c r="A4108" s="42"/>
      <c r="B4108" s="42"/>
      <c r="C4108" s="42"/>
      <c r="D4108" s="42"/>
      <c r="E4108" s="42"/>
      <c r="F4108" s="42"/>
    </row>
    <row r="4109" spans="1:6" ht="23.25" thickBot="1" x14ac:dyDescent="0.3">
      <c r="A4109" s="4" t="s">
        <v>19</v>
      </c>
      <c r="B4109" s="4" t="s">
        <v>20</v>
      </c>
      <c r="C4109" s="4" t="s">
        <v>21</v>
      </c>
      <c r="D4109" s="4" t="s">
        <v>22</v>
      </c>
      <c r="E4109" s="4" t="s">
        <v>23</v>
      </c>
      <c r="F4109" s="4" t="s">
        <v>24</v>
      </c>
    </row>
    <row r="4110" spans="1:6" ht="15.75" thickBot="1" x14ac:dyDescent="0.3">
      <c r="A4110" s="32" t="s">
        <v>268</v>
      </c>
      <c r="B4110" s="32" t="s">
        <v>269</v>
      </c>
      <c r="C4110" s="32" t="s">
        <v>129</v>
      </c>
      <c r="D4110" s="6" t="s">
        <v>28</v>
      </c>
      <c r="E4110" s="6" t="s">
        <v>262</v>
      </c>
      <c r="F4110" s="6"/>
    </row>
    <row r="4111" spans="1:6" ht="15.75" thickBot="1" x14ac:dyDescent="0.3">
      <c r="A4111" s="35" t="s">
        <v>31</v>
      </c>
      <c r="B4111" s="7" t="s">
        <v>32</v>
      </c>
      <c r="C4111" s="15">
        <v>45474</v>
      </c>
      <c r="D4111" s="35" t="s">
        <v>33</v>
      </c>
      <c r="E4111" s="7" t="s">
        <v>34</v>
      </c>
      <c r="F4111" s="6"/>
    </row>
    <row r="4112" spans="1:6" ht="15.75" thickBot="1" x14ac:dyDescent="0.3">
      <c r="A4112" s="36"/>
      <c r="B4112" s="7" t="s">
        <v>36</v>
      </c>
      <c r="C4112" s="5">
        <f>IF(C4111="","",IF(AND(MONTH(C4111)&gt;=1,MONTH(C4111)&lt;=3),1,IF(AND(MONTH(C4111)&gt;=4,MONTH(C4111)&lt;=6),2,IF(AND(MONTH(C4111)&gt;=7,MONTH(C4111)&lt;=9),3,4))))</f>
        <v>3</v>
      </c>
      <c r="D4112" s="36"/>
      <c r="E4112" s="7" t="s">
        <v>37</v>
      </c>
      <c r="F4112" s="6"/>
    </row>
    <row r="4113" spans="1:6" ht="15.75" thickBot="1" x14ac:dyDescent="0.3">
      <c r="A4113" s="36"/>
      <c r="B4113" s="7" t="s">
        <v>39</v>
      </c>
      <c r="C4113" s="15">
        <v>45565</v>
      </c>
      <c r="D4113" s="36"/>
      <c r="E4113" s="7" t="s">
        <v>40</v>
      </c>
      <c r="F4113" s="6"/>
    </row>
    <row r="4114" spans="1:6" ht="15.75" thickBot="1" x14ac:dyDescent="0.3">
      <c r="A4114" s="36"/>
      <c r="B4114" s="7" t="s">
        <v>36</v>
      </c>
      <c r="C4114" s="5">
        <f>IF(C4113="","",IF(AND(MONTH(C4113)&gt;=1,MONTH(C4113)&lt;=3),1,IF(AND(MONTH(C4113)&gt;=4,MONTH(C4113)&lt;=6),2,IF(AND(MONTH(C4113)&gt;=7,MONTH(C4113)&lt;=9),3,4))))</f>
        <v>3</v>
      </c>
      <c r="D4114" s="36"/>
      <c r="E4114" s="7" t="s">
        <v>41</v>
      </c>
      <c r="F4114" s="6"/>
    </row>
    <row r="4115" spans="1:6" ht="15.75" thickBot="1" x14ac:dyDescent="0.3">
      <c r="A4115" s="40"/>
      <c r="B4115" s="40"/>
      <c r="C4115" s="40"/>
      <c r="D4115" s="40"/>
      <c r="E4115" s="40"/>
      <c r="F4115" s="40"/>
    </row>
    <row r="4116" spans="1:6" ht="15.75" thickBot="1" x14ac:dyDescent="0.3">
      <c r="A4116" s="12" t="s">
        <v>42</v>
      </c>
      <c r="B4116" s="12" t="s">
        <v>43</v>
      </c>
      <c r="C4116" s="12" t="s">
        <v>44</v>
      </c>
      <c r="D4116" s="12" t="s">
        <v>45</v>
      </c>
      <c r="E4116" s="12" t="s">
        <v>46</v>
      </c>
      <c r="F4116" s="12" t="s">
        <v>47</v>
      </c>
    </row>
    <row r="4117" spans="1:6" x14ac:dyDescent="0.25">
      <c r="A4117" s="8">
        <v>78111808</v>
      </c>
      <c r="B4117" s="9" t="str">
        <f ca="1">IFERROR(INDEX(UNSPSCDes,MATCH(INDIRECT(ADDRESS(ROW(),COLUMN()-1,4)),UNSPSCCode,0)),"")</f>
        <v>Alquiler de vehículos</v>
      </c>
      <c r="C4117" s="8" t="s">
        <v>55</v>
      </c>
      <c r="D4117" s="8">
        <v>10</v>
      </c>
      <c r="E4117" s="11">
        <v>16800</v>
      </c>
      <c r="F4117" s="10">
        <f ca="1">INDIRECT(ADDRESS(ROW(),COLUMN()-2,4))*INDIRECT(ADDRESS(ROW(),COLUMN()-1,4))</f>
        <v>168000</v>
      </c>
    </row>
    <row r="4118" spans="1:6" x14ac:dyDescent="0.25">
      <c r="A4118" s="8">
        <v>78111803</v>
      </c>
      <c r="B4118" s="9" t="str">
        <f ca="1">IFERROR(INDEX(UNSPSCDes,MATCH(INDIRECT(ADDRESS(ROW(),COLUMN()-1,4)),UNSPSCCode,0)),"")</f>
        <v>Servicios de buses contratados</v>
      </c>
      <c r="C4118" s="33" t="s">
        <v>55</v>
      </c>
      <c r="D4118" s="8">
        <v>20</v>
      </c>
      <c r="E4118" s="11">
        <v>28000</v>
      </c>
      <c r="F4118" s="10">
        <f ca="1">INDIRECT(ADDRESS(ROW(),COLUMN()-2,4))*INDIRECT(ADDRESS(ROW(),COLUMN()-1,4))</f>
        <v>560000</v>
      </c>
    </row>
    <row r="4119" spans="1:6" ht="22.5" x14ac:dyDescent="0.25">
      <c r="A4119" s="8">
        <v>78101802</v>
      </c>
      <c r="B4119" s="9" t="str">
        <f ca="1">IFERROR(INDEX(UNSPSCDes,MATCH(INDIRECT(ADDRESS(ROW(),COLUMN()-1,4)),UNSPSCCode,0)),"")</f>
        <v>Servicios transporte de carga por carretera (en camión) a nivel regional y nacional</v>
      </c>
      <c r="C4119" s="33" t="s">
        <v>55</v>
      </c>
      <c r="D4119" s="8">
        <v>20</v>
      </c>
      <c r="E4119" s="11">
        <v>35000</v>
      </c>
      <c r="F4119" s="10">
        <f ca="1">INDIRECT(ADDRESS(ROW(),COLUMN()-2,4))*INDIRECT(ADDRESS(ROW(),COLUMN()-1,4))</f>
        <v>700000</v>
      </c>
    </row>
    <row r="4120" spans="1:6" x14ac:dyDescent="0.25">
      <c r="A4120" s="40"/>
      <c r="B4120" s="40"/>
      <c r="C4120" s="40"/>
      <c r="D4120" s="40"/>
      <c r="E4120" s="13" t="s">
        <v>87</v>
      </c>
      <c r="F4120" s="14">
        <f ca="1">SUM(Table356118[MONTO TOTAL ESTIMADO])</f>
        <v>1428000</v>
      </c>
    </row>
    <row r="4121" spans="1:6" ht="15.75" thickBot="1" x14ac:dyDescent="0.3">
      <c r="A4121" s="42"/>
      <c r="B4121" s="42"/>
      <c r="C4121" s="42"/>
      <c r="D4121" s="42"/>
      <c r="E4121" s="42"/>
      <c r="F4121" s="42"/>
    </row>
    <row r="4122" spans="1:6" ht="23.25" thickBot="1" x14ac:dyDescent="0.3">
      <c r="A4122" s="4" t="s">
        <v>19</v>
      </c>
      <c r="B4122" s="4" t="s">
        <v>20</v>
      </c>
      <c r="C4122" s="4" t="s">
        <v>21</v>
      </c>
      <c r="D4122" s="4" t="s">
        <v>22</v>
      </c>
      <c r="E4122" s="4" t="s">
        <v>23</v>
      </c>
      <c r="F4122" s="4" t="s">
        <v>24</v>
      </c>
    </row>
    <row r="4123" spans="1:6" ht="15.75" thickBot="1" x14ac:dyDescent="0.3">
      <c r="A4123" s="32" t="s">
        <v>270</v>
      </c>
      <c r="B4123" s="32" t="s">
        <v>271</v>
      </c>
      <c r="C4123" s="32" t="s">
        <v>129</v>
      </c>
      <c r="D4123" s="6" t="s">
        <v>28</v>
      </c>
      <c r="E4123" s="6" t="s">
        <v>262</v>
      </c>
      <c r="F4123" s="6"/>
    </row>
    <row r="4124" spans="1:6" ht="15.75" thickBot="1" x14ac:dyDescent="0.3">
      <c r="A4124" s="35" t="s">
        <v>31</v>
      </c>
      <c r="B4124" s="7" t="s">
        <v>32</v>
      </c>
      <c r="C4124" s="15">
        <v>45474</v>
      </c>
      <c r="D4124" s="35" t="s">
        <v>33</v>
      </c>
      <c r="E4124" s="7" t="s">
        <v>34</v>
      </c>
      <c r="F4124" s="6"/>
    </row>
    <row r="4125" spans="1:6" ht="15.75" thickBot="1" x14ac:dyDescent="0.3">
      <c r="A4125" s="36"/>
      <c r="B4125" s="7" t="s">
        <v>36</v>
      </c>
      <c r="C4125" s="5">
        <f>IF(C4124="","",IF(AND(MONTH(C4124)&gt;=1,MONTH(C4124)&lt;=3),1,IF(AND(MONTH(C4124)&gt;=4,MONTH(C4124)&lt;=6),2,IF(AND(MONTH(C4124)&gt;=7,MONTH(C4124)&lt;=9),3,4))))</f>
        <v>3</v>
      </c>
      <c r="D4125" s="36"/>
      <c r="E4125" s="7" t="s">
        <v>37</v>
      </c>
      <c r="F4125" s="6"/>
    </row>
    <row r="4126" spans="1:6" ht="15.75" thickBot="1" x14ac:dyDescent="0.3">
      <c r="A4126" s="36"/>
      <c r="B4126" s="7" t="s">
        <v>39</v>
      </c>
      <c r="C4126" s="15">
        <v>45565</v>
      </c>
      <c r="D4126" s="36"/>
      <c r="E4126" s="7" t="s">
        <v>40</v>
      </c>
      <c r="F4126" s="6"/>
    </row>
    <row r="4127" spans="1:6" ht="15.75" thickBot="1" x14ac:dyDescent="0.3">
      <c r="A4127" s="36"/>
      <c r="B4127" s="7" t="s">
        <v>36</v>
      </c>
      <c r="C4127" s="5">
        <f>IF(C4126="","",IF(AND(MONTH(C4126)&gt;=1,MONTH(C4126)&lt;=3),1,IF(AND(MONTH(C4126)&gt;=4,MONTH(C4126)&lt;=6),2,IF(AND(MONTH(C4126)&gt;=7,MONTH(C4126)&lt;=9),3,4))))</f>
        <v>3</v>
      </c>
      <c r="D4127" s="36"/>
      <c r="E4127" s="7" t="s">
        <v>41</v>
      </c>
      <c r="F4127" s="6"/>
    </row>
    <row r="4128" spans="1:6" ht="15.75" thickBot="1" x14ac:dyDescent="0.3">
      <c r="A4128" s="40"/>
      <c r="B4128" s="40"/>
      <c r="C4128" s="40"/>
      <c r="D4128" s="40"/>
      <c r="E4128" s="40"/>
      <c r="F4128" s="40"/>
    </row>
    <row r="4129" spans="1:6" ht="15.75" thickBot="1" x14ac:dyDescent="0.3">
      <c r="A4129" s="12" t="s">
        <v>42</v>
      </c>
      <c r="B4129" s="12" t="s">
        <v>43</v>
      </c>
      <c r="C4129" s="12" t="s">
        <v>44</v>
      </c>
      <c r="D4129" s="12" t="s">
        <v>45</v>
      </c>
      <c r="E4129" s="12" t="s">
        <v>46</v>
      </c>
      <c r="F4129" s="12" t="s">
        <v>47</v>
      </c>
    </row>
    <row r="4130" spans="1:6" x14ac:dyDescent="0.25">
      <c r="A4130" s="8">
        <v>72101508</v>
      </c>
      <c r="B4130" s="9" t="str">
        <f ca="1">IFERROR(INDEX(UNSPSCDes,MATCH(INDIRECT(ADDRESS(ROW(),COLUMN()-1,4)),UNSPSCCode,0)),"")</f>
        <v>Servicio de limpieza de pisos</v>
      </c>
      <c r="C4130" s="8" t="s">
        <v>55</v>
      </c>
      <c r="D4130" s="8">
        <v>1</v>
      </c>
      <c r="E4130" s="11">
        <v>185000</v>
      </c>
      <c r="F4130" s="10">
        <f ca="1">INDIRECT(ADDRESS(ROW(),COLUMN()-2,4))*INDIRECT(ADDRESS(ROW(),COLUMN()-1,4))</f>
        <v>185000</v>
      </c>
    </row>
    <row r="4131" spans="1:6" x14ac:dyDescent="0.25">
      <c r="A4131" s="8">
        <v>72101507</v>
      </c>
      <c r="B4131" s="9" t="str">
        <f ca="1">IFERROR(INDEX(UNSPSCDes,MATCH(INDIRECT(ADDRESS(ROW(),COLUMN()-1,4)),UNSPSCCode,0)),"")</f>
        <v>Servicio de mantenimiento de edificios</v>
      </c>
      <c r="C4131" s="33" t="s">
        <v>55</v>
      </c>
      <c r="D4131" s="8">
        <v>1</v>
      </c>
      <c r="E4131" s="11">
        <v>750000</v>
      </c>
      <c r="F4131" s="10">
        <f ca="1">INDIRECT(ADDRESS(ROW(),COLUMN()-2,4))*INDIRECT(ADDRESS(ROW(),COLUMN()-1,4))</f>
        <v>750000</v>
      </c>
    </row>
    <row r="4132" spans="1:6" x14ac:dyDescent="0.25">
      <c r="A4132" s="40"/>
      <c r="B4132" s="40"/>
      <c r="C4132" s="40"/>
      <c r="D4132" s="40"/>
      <c r="E4132" s="13" t="s">
        <v>87</v>
      </c>
      <c r="F4132" s="14">
        <f ca="1">SUM(Table357119[MONTO TOTAL ESTIMADO])</f>
        <v>935000</v>
      </c>
    </row>
    <row r="4133" spans="1:6" ht="15.75" thickBot="1" x14ac:dyDescent="0.3">
      <c r="A4133" s="42"/>
      <c r="B4133" s="42"/>
      <c r="C4133" s="42"/>
      <c r="D4133" s="42"/>
      <c r="E4133" s="42"/>
      <c r="F4133" s="42"/>
    </row>
    <row r="4134" spans="1:6" ht="23.25" thickBot="1" x14ac:dyDescent="0.3">
      <c r="A4134" s="4" t="s">
        <v>19</v>
      </c>
      <c r="B4134" s="4" t="s">
        <v>20</v>
      </c>
      <c r="C4134" s="4" t="s">
        <v>21</v>
      </c>
      <c r="D4134" s="4" t="s">
        <v>22</v>
      </c>
      <c r="E4134" s="4" t="s">
        <v>23</v>
      </c>
      <c r="F4134" s="4" t="s">
        <v>24</v>
      </c>
    </row>
    <row r="4135" spans="1:6" ht="15.75" thickBot="1" x14ac:dyDescent="0.3">
      <c r="A4135" s="32" t="s">
        <v>274</v>
      </c>
      <c r="B4135" s="32" t="s">
        <v>275</v>
      </c>
      <c r="C4135" s="32" t="s">
        <v>129</v>
      </c>
      <c r="D4135" s="6" t="s">
        <v>28</v>
      </c>
      <c r="E4135" s="32" t="s">
        <v>29</v>
      </c>
      <c r="F4135" s="6"/>
    </row>
    <row r="4136" spans="1:6" ht="15.75" thickBot="1" x14ac:dyDescent="0.3">
      <c r="A4136" s="35" t="s">
        <v>31</v>
      </c>
      <c r="B4136" s="7" t="s">
        <v>32</v>
      </c>
      <c r="C4136" s="15">
        <v>45474</v>
      </c>
      <c r="D4136" s="35" t="s">
        <v>33</v>
      </c>
      <c r="E4136" s="7" t="s">
        <v>34</v>
      </c>
      <c r="F4136" s="6"/>
    </row>
    <row r="4137" spans="1:6" ht="15.75" thickBot="1" x14ac:dyDescent="0.3">
      <c r="A4137" s="36"/>
      <c r="B4137" s="7" t="s">
        <v>36</v>
      </c>
      <c r="C4137" s="5">
        <f>IF(C4136="","",IF(AND(MONTH(C4136)&gt;=1,MONTH(C4136)&lt;=3),1,IF(AND(MONTH(C4136)&gt;=4,MONTH(C4136)&lt;=6),2,IF(AND(MONTH(C4136)&gt;=7,MONTH(C4136)&lt;=9),3,4))))</f>
        <v>3</v>
      </c>
      <c r="D4137" s="36"/>
      <c r="E4137" s="7" t="s">
        <v>37</v>
      </c>
      <c r="F4137" s="6"/>
    </row>
    <row r="4138" spans="1:6" ht="15.75" thickBot="1" x14ac:dyDescent="0.3">
      <c r="A4138" s="36"/>
      <c r="B4138" s="7" t="s">
        <v>39</v>
      </c>
      <c r="C4138" s="15">
        <v>45565</v>
      </c>
      <c r="D4138" s="36"/>
      <c r="E4138" s="7" t="s">
        <v>40</v>
      </c>
      <c r="F4138" s="6"/>
    </row>
    <row r="4139" spans="1:6" ht="15.75" thickBot="1" x14ac:dyDescent="0.3">
      <c r="A4139" s="36"/>
      <c r="B4139" s="7" t="s">
        <v>36</v>
      </c>
      <c r="C4139" s="5">
        <f>IF(C4138="","",IF(AND(MONTH(C4138)&gt;=1,MONTH(C4138)&lt;=3),1,IF(AND(MONTH(C4138)&gt;=4,MONTH(C4138)&lt;=6),2,IF(AND(MONTH(C4138)&gt;=7,MONTH(C4138)&lt;=9),3,4))))</f>
        <v>3</v>
      </c>
      <c r="D4139" s="36"/>
      <c r="E4139" s="7" t="s">
        <v>41</v>
      </c>
      <c r="F4139" s="6"/>
    </row>
    <row r="4140" spans="1:6" ht="15.75" thickBot="1" x14ac:dyDescent="0.3">
      <c r="A4140" s="40"/>
      <c r="B4140" s="40"/>
      <c r="C4140" s="40"/>
      <c r="D4140" s="40"/>
      <c r="E4140" s="40"/>
      <c r="F4140" s="40"/>
    </row>
    <row r="4141" spans="1:6" ht="15.75" thickBot="1" x14ac:dyDescent="0.3">
      <c r="A4141" s="12" t="s">
        <v>42</v>
      </c>
      <c r="B4141" s="12" t="s">
        <v>43</v>
      </c>
      <c r="C4141" s="12" t="s">
        <v>44</v>
      </c>
      <c r="D4141" s="12" t="s">
        <v>45</v>
      </c>
      <c r="E4141" s="12" t="s">
        <v>46</v>
      </c>
      <c r="F4141" s="12" t="s">
        <v>47</v>
      </c>
    </row>
    <row r="4142" spans="1:6" x14ac:dyDescent="0.25">
      <c r="A4142" s="8">
        <v>78111803</v>
      </c>
      <c r="B4142" s="9" t="str">
        <f ca="1">IFERROR(INDEX(UNSPSCDes,MATCH(INDIRECT(ADDRESS(ROW(),COLUMN()-1,4)),UNSPSCCode,0)),"")</f>
        <v>Servicios de buses contratados</v>
      </c>
      <c r="C4142" s="8" t="s">
        <v>55</v>
      </c>
      <c r="D4142" s="8">
        <v>20</v>
      </c>
      <c r="E4142" s="11">
        <v>28000</v>
      </c>
      <c r="F4142" s="10">
        <f ca="1">INDIRECT(ADDRESS(ROW(),COLUMN()-2,4))*INDIRECT(ADDRESS(ROW(),COLUMN()-1,4))</f>
        <v>560000</v>
      </c>
    </row>
    <row r="4143" spans="1:6" x14ac:dyDescent="0.25">
      <c r="A4143" s="8">
        <v>78111803</v>
      </c>
      <c r="B4143" s="9" t="str">
        <f ca="1">IFERROR(INDEX(UNSPSCDes,MATCH(INDIRECT(ADDRESS(ROW(),COLUMN()-1,4)),UNSPSCCode,0)),"")</f>
        <v>Servicios de buses contratados</v>
      </c>
      <c r="C4143" s="33" t="s">
        <v>55</v>
      </c>
      <c r="D4143" s="8">
        <v>20</v>
      </c>
      <c r="E4143" s="11">
        <v>35000</v>
      </c>
      <c r="F4143" s="10">
        <f ca="1">INDIRECT(ADDRESS(ROW(),COLUMN()-2,4))*INDIRECT(ADDRESS(ROW(),COLUMN()-1,4))</f>
        <v>700000</v>
      </c>
    </row>
    <row r="4144" spans="1:6" x14ac:dyDescent="0.25">
      <c r="A4144" s="40"/>
      <c r="B4144" s="40"/>
      <c r="C4144" s="40"/>
      <c r="D4144" s="40"/>
      <c r="E4144" s="13" t="s">
        <v>87</v>
      </c>
      <c r="F4144" s="14">
        <f ca="1">SUM(Table358120[MONTO TOTAL ESTIMADO])</f>
        <v>1260000</v>
      </c>
    </row>
    <row r="4145" spans="1:6" ht="15.75" thickBot="1" x14ac:dyDescent="0.3">
      <c r="A4145" s="42"/>
      <c r="B4145" s="42"/>
      <c r="C4145" s="42"/>
      <c r="D4145" s="42"/>
      <c r="E4145" s="42"/>
      <c r="F4145" s="42"/>
    </row>
    <row r="4146" spans="1:6" ht="23.25" thickBot="1" x14ac:dyDescent="0.3">
      <c r="A4146" s="4" t="s">
        <v>19</v>
      </c>
      <c r="B4146" s="4" t="s">
        <v>20</v>
      </c>
      <c r="C4146" s="4" t="s">
        <v>21</v>
      </c>
      <c r="D4146" s="4" t="s">
        <v>22</v>
      </c>
      <c r="E4146" s="4" t="s">
        <v>23</v>
      </c>
      <c r="F4146" s="4" t="s">
        <v>24</v>
      </c>
    </row>
    <row r="4147" spans="1:6" ht="15.75" thickBot="1" x14ac:dyDescent="0.3">
      <c r="A4147" s="32" t="s">
        <v>276</v>
      </c>
      <c r="B4147" s="32" t="s">
        <v>277</v>
      </c>
      <c r="C4147" s="32" t="s">
        <v>27</v>
      </c>
      <c r="D4147" s="6" t="s">
        <v>28</v>
      </c>
      <c r="E4147" s="6" t="s">
        <v>262</v>
      </c>
      <c r="F4147" s="6"/>
    </row>
    <row r="4148" spans="1:6" ht="15.75" thickBot="1" x14ac:dyDescent="0.3">
      <c r="A4148" s="35" t="s">
        <v>31</v>
      </c>
      <c r="B4148" s="7" t="s">
        <v>32</v>
      </c>
      <c r="C4148" s="15">
        <v>45474</v>
      </c>
      <c r="D4148" s="35" t="s">
        <v>33</v>
      </c>
      <c r="E4148" s="7" t="s">
        <v>34</v>
      </c>
      <c r="F4148" s="6"/>
    </row>
    <row r="4149" spans="1:6" ht="15.75" thickBot="1" x14ac:dyDescent="0.3">
      <c r="A4149" s="36"/>
      <c r="B4149" s="7" t="s">
        <v>36</v>
      </c>
      <c r="C4149" s="5">
        <f>IF(C4148="","",IF(AND(MONTH(C4148)&gt;=1,MONTH(C4148)&lt;=3),1,IF(AND(MONTH(C4148)&gt;=4,MONTH(C4148)&lt;=6),2,IF(AND(MONTH(C4148)&gt;=7,MONTH(C4148)&lt;=9),3,4))))</f>
        <v>3</v>
      </c>
      <c r="D4149" s="36"/>
      <c r="E4149" s="7" t="s">
        <v>37</v>
      </c>
      <c r="F4149" s="6"/>
    </row>
    <row r="4150" spans="1:6" ht="15.75" thickBot="1" x14ac:dyDescent="0.3">
      <c r="A4150" s="36"/>
      <c r="B4150" s="7" t="s">
        <v>39</v>
      </c>
      <c r="C4150" s="15">
        <v>45565</v>
      </c>
      <c r="D4150" s="36"/>
      <c r="E4150" s="7" t="s">
        <v>40</v>
      </c>
      <c r="F4150" s="6"/>
    </row>
    <row r="4151" spans="1:6" ht="15.75" thickBot="1" x14ac:dyDescent="0.3">
      <c r="A4151" s="36"/>
      <c r="B4151" s="7" t="s">
        <v>36</v>
      </c>
      <c r="C4151" s="5">
        <f>IF(C4150="","",IF(AND(MONTH(C4150)&gt;=1,MONTH(C4150)&lt;=3),1,IF(AND(MONTH(C4150)&gt;=4,MONTH(C4150)&lt;=6),2,IF(AND(MONTH(C4150)&gt;=7,MONTH(C4150)&lt;=9),3,4))))</f>
        <v>3</v>
      </c>
      <c r="D4151" s="36"/>
      <c r="E4151" s="7" t="s">
        <v>41</v>
      </c>
      <c r="F4151" s="6"/>
    </row>
    <row r="4152" spans="1:6" ht="15.75" thickBot="1" x14ac:dyDescent="0.3">
      <c r="A4152" s="40"/>
      <c r="B4152" s="40"/>
      <c r="C4152" s="40"/>
      <c r="D4152" s="40"/>
      <c r="E4152" s="40"/>
      <c r="F4152" s="40"/>
    </row>
    <row r="4153" spans="1:6" ht="15.75" thickBot="1" x14ac:dyDescent="0.3">
      <c r="A4153" s="12" t="s">
        <v>42</v>
      </c>
      <c r="B4153" s="12" t="s">
        <v>43</v>
      </c>
      <c r="C4153" s="12" t="s">
        <v>44</v>
      </c>
      <c r="D4153" s="12" t="s">
        <v>45</v>
      </c>
      <c r="E4153" s="12" t="s">
        <v>46</v>
      </c>
      <c r="F4153" s="12" t="s">
        <v>47</v>
      </c>
    </row>
    <row r="4154" spans="1:6" x14ac:dyDescent="0.25">
      <c r="A4154" s="8">
        <v>44112005</v>
      </c>
      <c r="B4154" s="9" t="str">
        <f ca="1">IFERROR(INDEX(UNSPSCDes,MATCH(INDIRECT(ADDRESS(ROW(),COLUMN()-1,4)),UNSPSCCode,0)),"")</f>
        <v>Libretas de citas o repuestos</v>
      </c>
      <c r="C4154" s="8" t="s">
        <v>55</v>
      </c>
      <c r="D4154" s="8">
        <v>500</v>
      </c>
      <c r="E4154" s="11">
        <v>770</v>
      </c>
      <c r="F4154" s="10">
        <f ca="1">INDIRECT(ADDRESS(ROW(),COLUMN()-2,4))*INDIRECT(ADDRESS(ROW(),COLUMN()-1,4))</f>
        <v>385000</v>
      </c>
    </row>
    <row r="4155" spans="1:6" x14ac:dyDescent="0.25">
      <c r="A4155" s="40"/>
      <c r="B4155" s="40"/>
      <c r="C4155" s="40"/>
      <c r="D4155" s="40"/>
      <c r="E4155" s="13" t="s">
        <v>87</v>
      </c>
      <c r="F4155" s="14">
        <f ca="1">SUM(Table359121[MONTO TOTAL ESTIMADO])</f>
        <v>385000</v>
      </c>
    </row>
    <row r="4156" spans="1:6" ht="15.75" thickBot="1" x14ac:dyDescent="0.3">
      <c r="A4156" s="42"/>
      <c r="B4156" s="42"/>
      <c r="C4156" s="42"/>
      <c r="D4156" s="42"/>
      <c r="E4156" s="42"/>
      <c r="F4156" s="42"/>
    </row>
    <row r="4157" spans="1:6" ht="23.25" thickBot="1" x14ac:dyDescent="0.3">
      <c r="A4157" s="4" t="s">
        <v>19</v>
      </c>
      <c r="B4157" s="4" t="s">
        <v>20</v>
      </c>
      <c r="C4157" s="4" t="s">
        <v>21</v>
      </c>
      <c r="D4157" s="4" t="s">
        <v>22</v>
      </c>
      <c r="E4157" s="4" t="s">
        <v>23</v>
      </c>
      <c r="F4157" s="4" t="s">
        <v>24</v>
      </c>
    </row>
    <row r="4158" spans="1:6" ht="15.75" thickBot="1" x14ac:dyDescent="0.3">
      <c r="A4158" s="32" t="s">
        <v>278</v>
      </c>
      <c r="B4158" s="32" t="s">
        <v>279</v>
      </c>
      <c r="C4158" s="32" t="s">
        <v>27</v>
      </c>
      <c r="D4158" s="6" t="s">
        <v>28</v>
      </c>
      <c r="E4158" s="6" t="s">
        <v>262</v>
      </c>
      <c r="F4158" s="6"/>
    </row>
    <row r="4159" spans="1:6" ht="15.75" thickBot="1" x14ac:dyDescent="0.3">
      <c r="A4159" s="35" t="s">
        <v>31</v>
      </c>
      <c r="B4159" s="7" t="s">
        <v>32</v>
      </c>
      <c r="C4159" s="15">
        <v>45474</v>
      </c>
      <c r="D4159" s="35" t="s">
        <v>33</v>
      </c>
      <c r="E4159" s="7" t="s">
        <v>34</v>
      </c>
      <c r="F4159" s="6"/>
    </row>
    <row r="4160" spans="1:6" ht="15.75" thickBot="1" x14ac:dyDescent="0.3">
      <c r="A4160" s="36"/>
      <c r="B4160" s="7" t="s">
        <v>36</v>
      </c>
      <c r="C4160" s="5">
        <f>IF(C4159="","",IF(AND(MONTH(C4159)&gt;=1,MONTH(C4159)&lt;=3),1,IF(AND(MONTH(C4159)&gt;=4,MONTH(C4159)&lt;=6),2,IF(AND(MONTH(C4159)&gt;=7,MONTH(C4159)&lt;=9),3,4))))</f>
        <v>3</v>
      </c>
      <c r="D4160" s="36"/>
      <c r="E4160" s="7" t="s">
        <v>37</v>
      </c>
      <c r="F4160" s="6"/>
    </row>
    <row r="4161" spans="1:6" ht="15.75" thickBot="1" x14ac:dyDescent="0.3">
      <c r="A4161" s="36"/>
      <c r="B4161" s="7" t="s">
        <v>39</v>
      </c>
      <c r="C4161" s="15">
        <v>45565</v>
      </c>
      <c r="D4161" s="36"/>
      <c r="E4161" s="7" t="s">
        <v>40</v>
      </c>
      <c r="F4161" s="6"/>
    </row>
    <row r="4162" spans="1:6" ht="15.75" thickBot="1" x14ac:dyDescent="0.3">
      <c r="A4162" s="36"/>
      <c r="B4162" s="7" t="s">
        <v>36</v>
      </c>
      <c r="C4162" s="5">
        <f>IF(C4161="","",IF(AND(MONTH(C4161)&gt;=1,MONTH(C4161)&lt;=3),1,IF(AND(MONTH(C4161)&gt;=4,MONTH(C4161)&lt;=6),2,IF(AND(MONTH(C4161)&gt;=7,MONTH(C4161)&lt;=9),3,4))))</f>
        <v>3</v>
      </c>
      <c r="D4162" s="36"/>
      <c r="E4162" s="7" t="s">
        <v>41</v>
      </c>
      <c r="F4162" s="6"/>
    </row>
    <row r="4163" spans="1:6" ht="15.75" thickBot="1" x14ac:dyDescent="0.3">
      <c r="A4163" s="40"/>
      <c r="B4163" s="40"/>
      <c r="C4163" s="40"/>
      <c r="D4163" s="40"/>
      <c r="E4163" s="40"/>
      <c r="F4163" s="40"/>
    </row>
    <row r="4164" spans="1:6" ht="15.75" thickBot="1" x14ac:dyDescent="0.3">
      <c r="A4164" s="12" t="s">
        <v>42</v>
      </c>
      <c r="B4164" s="12" t="s">
        <v>43</v>
      </c>
      <c r="C4164" s="12" t="s">
        <v>44</v>
      </c>
      <c r="D4164" s="12" t="s">
        <v>45</v>
      </c>
      <c r="E4164" s="12" t="s">
        <v>46</v>
      </c>
      <c r="F4164" s="12" t="s">
        <v>47</v>
      </c>
    </row>
    <row r="4165" spans="1:6" x14ac:dyDescent="0.25">
      <c r="A4165" s="8">
        <v>56112102</v>
      </c>
      <c r="B4165" s="9" t="str">
        <f ca="1">IFERROR(INDEX(UNSPSCDes,MATCH(INDIRECT(ADDRESS(ROW(),COLUMN()-1,4)),UNSPSCCode,0)),"")</f>
        <v>Sillas para grupos de trabajo</v>
      </c>
      <c r="C4165" s="8" t="s">
        <v>55</v>
      </c>
      <c r="D4165" s="8">
        <v>500</v>
      </c>
      <c r="E4165" s="11">
        <v>360</v>
      </c>
      <c r="F4165" s="10">
        <f ca="1">INDIRECT(ADDRESS(ROW(),COLUMN()-2,4))*INDIRECT(ADDRESS(ROW(),COLUMN()-1,4))</f>
        <v>180000</v>
      </c>
    </row>
    <row r="4166" spans="1:6" x14ac:dyDescent="0.25">
      <c r="A4166" s="8">
        <v>56101519</v>
      </c>
      <c r="B4166" s="9" t="str">
        <f ca="1">IFERROR(INDEX(UNSPSCDes,MATCH(INDIRECT(ADDRESS(ROW(),COLUMN()-1,4)),UNSPSCCode,0)),"")</f>
        <v>Mesas</v>
      </c>
      <c r="C4166" s="33" t="s">
        <v>55</v>
      </c>
      <c r="D4166" s="8">
        <v>30</v>
      </c>
      <c r="E4166" s="11">
        <v>5800</v>
      </c>
      <c r="F4166" s="10">
        <f ca="1">INDIRECT(ADDRESS(ROW(),COLUMN()-2,4))*INDIRECT(ADDRESS(ROW(),COLUMN()-1,4))</f>
        <v>174000</v>
      </c>
    </row>
    <row r="4167" spans="1:6" x14ac:dyDescent="0.25">
      <c r="A4167" s="40"/>
      <c r="B4167" s="40"/>
      <c r="C4167" s="40"/>
      <c r="D4167" s="40"/>
      <c r="E4167" s="13" t="s">
        <v>87</v>
      </c>
      <c r="F4167" s="14">
        <f ca="1">SUM(Table360122[MONTO TOTAL ESTIMADO])</f>
        <v>354000</v>
      </c>
    </row>
    <row r="4168" spans="1:6" ht="15.75" thickBot="1" x14ac:dyDescent="0.3">
      <c r="A4168" s="42"/>
      <c r="B4168" s="42"/>
      <c r="C4168" s="42"/>
      <c r="D4168" s="42"/>
      <c r="E4168" s="42"/>
      <c r="F4168" s="42"/>
    </row>
    <row r="4169" spans="1:6" ht="23.25" thickBot="1" x14ac:dyDescent="0.3">
      <c r="A4169" s="4" t="s">
        <v>19</v>
      </c>
      <c r="B4169" s="4" t="s">
        <v>20</v>
      </c>
      <c r="C4169" s="4" t="s">
        <v>21</v>
      </c>
      <c r="D4169" s="4" t="s">
        <v>22</v>
      </c>
      <c r="E4169" s="4" t="s">
        <v>23</v>
      </c>
      <c r="F4169" s="4" t="s">
        <v>24</v>
      </c>
    </row>
    <row r="4170" spans="1:6" ht="15.75" thickBot="1" x14ac:dyDescent="0.3">
      <c r="A4170" s="32" t="s">
        <v>282</v>
      </c>
      <c r="B4170" s="32" t="s">
        <v>283</v>
      </c>
      <c r="C4170" s="6" t="s">
        <v>27</v>
      </c>
      <c r="D4170" s="6" t="s">
        <v>28</v>
      </c>
      <c r="E4170" s="6" t="s">
        <v>262</v>
      </c>
      <c r="F4170" s="6"/>
    </row>
    <row r="4171" spans="1:6" ht="15.75" thickBot="1" x14ac:dyDescent="0.3">
      <c r="A4171" s="35" t="s">
        <v>31</v>
      </c>
      <c r="B4171" s="7" t="s">
        <v>32</v>
      </c>
      <c r="C4171" s="15">
        <v>45474</v>
      </c>
      <c r="D4171" s="35" t="s">
        <v>33</v>
      </c>
      <c r="E4171" s="7" t="s">
        <v>34</v>
      </c>
      <c r="F4171" s="6"/>
    </row>
    <row r="4172" spans="1:6" ht="15.75" thickBot="1" x14ac:dyDescent="0.3">
      <c r="A4172" s="36"/>
      <c r="B4172" s="7" t="s">
        <v>36</v>
      </c>
      <c r="C4172" s="5">
        <f>IF(C4171="","",IF(AND(MONTH(C4171)&gt;=1,MONTH(C4171)&lt;=3),1,IF(AND(MONTH(C4171)&gt;=4,MONTH(C4171)&lt;=6),2,IF(AND(MONTH(C4171)&gt;=7,MONTH(C4171)&lt;=9),3,4))))</f>
        <v>3</v>
      </c>
      <c r="D4172" s="36"/>
      <c r="E4172" s="7" t="s">
        <v>37</v>
      </c>
      <c r="F4172" s="6"/>
    </row>
    <row r="4173" spans="1:6" ht="15.75" thickBot="1" x14ac:dyDescent="0.3">
      <c r="A4173" s="36"/>
      <c r="B4173" s="7" t="s">
        <v>39</v>
      </c>
      <c r="C4173" s="15">
        <v>45565</v>
      </c>
      <c r="D4173" s="36"/>
      <c r="E4173" s="7" t="s">
        <v>40</v>
      </c>
      <c r="F4173" s="6"/>
    </row>
    <row r="4174" spans="1:6" ht="15.75" thickBot="1" x14ac:dyDescent="0.3">
      <c r="A4174" s="36"/>
      <c r="B4174" s="7" t="s">
        <v>36</v>
      </c>
      <c r="C4174" s="5">
        <f>IF(C4173="","",IF(AND(MONTH(C4173)&gt;=1,MONTH(C4173)&lt;=3),1,IF(AND(MONTH(C4173)&gt;=4,MONTH(C4173)&lt;=6),2,IF(AND(MONTH(C4173)&gt;=7,MONTH(C4173)&lt;=9),3,4))))</f>
        <v>3</v>
      </c>
      <c r="D4174" s="36"/>
      <c r="E4174" s="7" t="s">
        <v>41</v>
      </c>
      <c r="F4174" s="6"/>
    </row>
    <row r="4175" spans="1:6" ht="15.75" thickBot="1" x14ac:dyDescent="0.3">
      <c r="A4175" s="40"/>
      <c r="B4175" s="40"/>
      <c r="C4175" s="40"/>
      <c r="D4175" s="40"/>
      <c r="E4175" s="40"/>
      <c r="F4175" s="40"/>
    </row>
    <row r="4176" spans="1:6" ht="15.75" thickBot="1" x14ac:dyDescent="0.3">
      <c r="A4176" s="12" t="s">
        <v>42</v>
      </c>
      <c r="B4176" s="12" t="s">
        <v>43</v>
      </c>
      <c r="C4176" s="12" t="s">
        <v>44</v>
      </c>
      <c r="D4176" s="12" t="s">
        <v>45</v>
      </c>
      <c r="E4176" s="12" t="s">
        <v>46</v>
      </c>
      <c r="F4176" s="12" t="s">
        <v>47</v>
      </c>
    </row>
    <row r="4177" spans="1:6" x14ac:dyDescent="0.25">
      <c r="A4177" s="8">
        <v>56101703</v>
      </c>
      <c r="B4177" s="9" t="str">
        <f t="shared" ref="B4177:B4183" ca="1" si="62">IFERROR(INDEX(UNSPSCDes,MATCH(INDIRECT(ADDRESS(ROW(),COLUMN()-1,4)),UNSPSCCode,0)),"")</f>
        <v>Escritorios</v>
      </c>
      <c r="C4177" s="8" t="s">
        <v>55</v>
      </c>
      <c r="D4177" s="8">
        <v>1</v>
      </c>
      <c r="E4177" s="11">
        <v>850000</v>
      </c>
      <c r="F4177" s="10">
        <f t="shared" ref="F4177:F4183" ca="1" si="63">INDIRECT(ADDRESS(ROW(),COLUMN()-2,4))*INDIRECT(ADDRESS(ROW(),COLUMN()-1,4))</f>
        <v>850000</v>
      </c>
    </row>
    <row r="4178" spans="1:6" x14ac:dyDescent="0.25">
      <c r="A4178" s="8">
        <v>56101702</v>
      </c>
      <c r="B4178" s="9" t="str">
        <f t="shared" ca="1" si="62"/>
        <v>Gabinetes de archivo o accesorios</v>
      </c>
      <c r="C4178" s="33" t="s">
        <v>55</v>
      </c>
      <c r="D4178" s="8">
        <v>6</v>
      </c>
      <c r="E4178" s="11">
        <v>9800</v>
      </c>
      <c r="F4178" s="10">
        <f t="shared" ca="1" si="63"/>
        <v>58800</v>
      </c>
    </row>
    <row r="4179" spans="1:6" x14ac:dyDescent="0.25">
      <c r="A4179" s="8">
        <v>56101702</v>
      </c>
      <c r="B4179" s="9" t="str">
        <f t="shared" ca="1" si="62"/>
        <v>Gabinetes de archivo o accesorios</v>
      </c>
      <c r="C4179" s="33" t="s">
        <v>55</v>
      </c>
      <c r="D4179" s="8">
        <v>6</v>
      </c>
      <c r="E4179" s="11">
        <v>7800</v>
      </c>
      <c r="F4179" s="10">
        <f t="shared" ca="1" si="63"/>
        <v>46800</v>
      </c>
    </row>
    <row r="4180" spans="1:6" x14ac:dyDescent="0.25">
      <c r="A4180" s="8">
        <v>56101703</v>
      </c>
      <c r="B4180" s="9" t="str">
        <f t="shared" ca="1" si="62"/>
        <v>Escritorios</v>
      </c>
      <c r="C4180" s="33" t="s">
        <v>55</v>
      </c>
      <c r="D4180" s="8">
        <v>1</v>
      </c>
      <c r="E4180" s="11">
        <v>18500</v>
      </c>
      <c r="F4180" s="10">
        <f t="shared" ca="1" si="63"/>
        <v>18500</v>
      </c>
    </row>
    <row r="4181" spans="1:6" x14ac:dyDescent="0.25">
      <c r="A4181" s="8">
        <v>56101703</v>
      </c>
      <c r="B4181" s="9" t="str">
        <f t="shared" ca="1" si="62"/>
        <v>Escritorios</v>
      </c>
      <c r="C4181" s="33" t="s">
        <v>55</v>
      </c>
      <c r="D4181" s="8">
        <v>1</v>
      </c>
      <c r="E4181" s="11">
        <v>14600</v>
      </c>
      <c r="F4181" s="10">
        <f t="shared" ca="1" si="63"/>
        <v>14600</v>
      </c>
    </row>
    <row r="4182" spans="1:6" x14ac:dyDescent="0.25">
      <c r="A4182" s="8">
        <v>56112104</v>
      </c>
      <c r="B4182" s="9" t="str">
        <f t="shared" ca="1" si="62"/>
        <v>Sillas para ejecutivos</v>
      </c>
      <c r="C4182" s="33" t="s">
        <v>55</v>
      </c>
      <c r="D4182" s="8">
        <v>1</v>
      </c>
      <c r="E4182" s="11">
        <v>22600</v>
      </c>
      <c r="F4182" s="10">
        <f t="shared" ca="1" si="63"/>
        <v>22600</v>
      </c>
    </row>
    <row r="4183" spans="1:6" x14ac:dyDescent="0.25">
      <c r="A4183" s="8">
        <v>56112103</v>
      </c>
      <c r="B4183" s="9" t="str">
        <f t="shared" ca="1" si="62"/>
        <v>Sillas para visitantes</v>
      </c>
      <c r="C4183" s="33" t="s">
        <v>55</v>
      </c>
      <c r="D4183" s="8">
        <v>7</v>
      </c>
      <c r="E4183" s="11">
        <v>18900</v>
      </c>
      <c r="F4183" s="10">
        <f t="shared" ca="1" si="63"/>
        <v>132300</v>
      </c>
    </row>
    <row r="4184" spans="1:6" x14ac:dyDescent="0.25">
      <c r="A4184" s="40"/>
      <c r="B4184" s="40"/>
      <c r="C4184" s="40"/>
      <c r="D4184" s="40"/>
      <c r="E4184" s="13" t="s">
        <v>87</v>
      </c>
      <c r="F4184" s="14">
        <f ca="1">SUM(Table361123[MONTO TOTAL ESTIMADO])</f>
        <v>1143600</v>
      </c>
    </row>
    <row r="4185" spans="1:6" ht="15.75" thickBot="1" x14ac:dyDescent="0.3">
      <c r="A4185" s="42"/>
      <c r="B4185" s="42"/>
      <c r="C4185" s="42"/>
      <c r="D4185" s="42"/>
      <c r="E4185" s="42"/>
      <c r="F4185" s="42"/>
    </row>
    <row r="4186" spans="1:6" ht="23.25" thickBot="1" x14ac:dyDescent="0.3">
      <c r="A4186" s="4" t="s">
        <v>19</v>
      </c>
      <c r="B4186" s="4" t="s">
        <v>20</v>
      </c>
      <c r="C4186" s="4" t="s">
        <v>21</v>
      </c>
      <c r="D4186" s="4" t="s">
        <v>22</v>
      </c>
      <c r="E4186" s="4" t="s">
        <v>23</v>
      </c>
      <c r="F4186" s="4" t="s">
        <v>24</v>
      </c>
    </row>
    <row r="4187" spans="1:6" ht="15.75" thickBot="1" x14ac:dyDescent="0.3">
      <c r="A4187" s="32" t="s">
        <v>288</v>
      </c>
      <c r="B4187" s="32" t="s">
        <v>289</v>
      </c>
      <c r="C4187" s="32" t="s">
        <v>27</v>
      </c>
      <c r="D4187" s="6" t="s">
        <v>28</v>
      </c>
      <c r="E4187" s="6" t="s">
        <v>262</v>
      </c>
      <c r="F4187" s="6"/>
    </row>
    <row r="4188" spans="1:6" ht="15.75" thickBot="1" x14ac:dyDescent="0.3">
      <c r="A4188" s="35" t="s">
        <v>31</v>
      </c>
      <c r="B4188" s="7" t="s">
        <v>32</v>
      </c>
      <c r="C4188" s="15">
        <v>45474</v>
      </c>
      <c r="D4188" s="35" t="s">
        <v>33</v>
      </c>
      <c r="E4188" s="7" t="s">
        <v>34</v>
      </c>
      <c r="F4188" s="6"/>
    </row>
    <row r="4189" spans="1:6" ht="15.75" thickBot="1" x14ac:dyDescent="0.3">
      <c r="A4189" s="36"/>
      <c r="B4189" s="7" t="s">
        <v>36</v>
      </c>
      <c r="C4189" s="5">
        <f>IF(C4188="","",IF(AND(MONTH(C4188)&gt;=1,MONTH(C4188)&lt;=3),1,IF(AND(MONTH(C4188)&gt;=4,MONTH(C4188)&lt;=6),2,IF(AND(MONTH(C4188)&gt;=7,MONTH(C4188)&lt;=9),3,4))))</f>
        <v>3</v>
      </c>
      <c r="D4189" s="36"/>
      <c r="E4189" s="7" t="s">
        <v>37</v>
      </c>
      <c r="F4189" s="6"/>
    </row>
    <row r="4190" spans="1:6" ht="15.75" thickBot="1" x14ac:dyDescent="0.3">
      <c r="A4190" s="36"/>
      <c r="B4190" s="7" t="s">
        <v>39</v>
      </c>
      <c r="C4190" s="15">
        <v>45565</v>
      </c>
      <c r="D4190" s="36"/>
      <c r="E4190" s="7" t="s">
        <v>40</v>
      </c>
      <c r="F4190" s="6"/>
    </row>
    <row r="4191" spans="1:6" ht="15.75" thickBot="1" x14ac:dyDescent="0.3">
      <c r="A4191" s="36"/>
      <c r="B4191" s="7" t="s">
        <v>36</v>
      </c>
      <c r="C4191" s="5">
        <f>IF(C4190="","",IF(AND(MONTH(C4190)&gt;=1,MONTH(C4190)&lt;=3),1,IF(AND(MONTH(C4190)&gt;=4,MONTH(C4190)&lt;=6),2,IF(AND(MONTH(C4190)&gt;=7,MONTH(C4190)&lt;=9),3,4))))</f>
        <v>3</v>
      </c>
      <c r="D4191" s="36"/>
      <c r="E4191" s="7" t="s">
        <v>41</v>
      </c>
      <c r="F4191" s="6"/>
    </row>
    <row r="4192" spans="1:6" ht="15.75" thickBot="1" x14ac:dyDescent="0.3">
      <c r="A4192" s="40"/>
      <c r="B4192" s="40"/>
      <c r="C4192" s="40"/>
      <c r="D4192" s="40"/>
      <c r="E4192" s="40"/>
      <c r="F4192" s="40"/>
    </row>
    <row r="4193" spans="1:6" ht="15.75" thickBot="1" x14ac:dyDescent="0.3">
      <c r="A4193" s="12" t="s">
        <v>42</v>
      </c>
      <c r="B4193" s="12" t="s">
        <v>43</v>
      </c>
      <c r="C4193" s="12" t="s">
        <v>44</v>
      </c>
      <c r="D4193" s="12" t="s">
        <v>45</v>
      </c>
      <c r="E4193" s="12" t="s">
        <v>46</v>
      </c>
      <c r="F4193" s="12" t="s">
        <v>47</v>
      </c>
    </row>
    <row r="4194" spans="1:6" ht="22.5" x14ac:dyDescent="0.25">
      <c r="A4194" s="8">
        <v>42171917</v>
      </c>
      <c r="B4194" s="9" t="str">
        <f ca="1">IFERROR(INDEX(UNSPSCDes,MATCH(INDIRECT(ADDRESS(ROW(),COLUMN()-1,4)),UNSPSCCode,0)),"")</f>
        <v>Estuches o bolsas o accesorios de primeros auxilios para servicios médicos de emergencia</v>
      </c>
      <c r="C4194" s="8" t="s">
        <v>55</v>
      </c>
      <c r="D4194" s="8">
        <v>1400</v>
      </c>
      <c r="E4194" s="11">
        <v>1000</v>
      </c>
      <c r="F4194" s="10">
        <f ca="1">INDIRECT(ADDRESS(ROW(),COLUMN()-2,4))*INDIRECT(ADDRESS(ROW(),COLUMN()-1,4))</f>
        <v>1400000</v>
      </c>
    </row>
    <row r="4195" spans="1:6" x14ac:dyDescent="0.25">
      <c r="A4195" s="40"/>
      <c r="B4195" s="40"/>
      <c r="C4195" s="40"/>
      <c r="D4195" s="40"/>
      <c r="E4195" s="13" t="s">
        <v>87</v>
      </c>
      <c r="F4195" s="14">
        <f ca="1">SUM(Table362124[MONTO TOTAL ESTIMADO])</f>
        <v>1400000</v>
      </c>
    </row>
    <row r="4196" spans="1:6" ht="15.75" thickBot="1" x14ac:dyDescent="0.3">
      <c r="A4196" s="42"/>
      <c r="B4196" s="42"/>
      <c r="C4196" s="42"/>
      <c r="D4196" s="42"/>
      <c r="E4196" s="42"/>
      <c r="F4196" s="42"/>
    </row>
    <row r="4197" spans="1:6" ht="23.25" thickBot="1" x14ac:dyDescent="0.3">
      <c r="A4197" s="4" t="s">
        <v>19</v>
      </c>
      <c r="B4197" s="4" t="s">
        <v>20</v>
      </c>
      <c r="C4197" s="4" t="s">
        <v>21</v>
      </c>
      <c r="D4197" s="4" t="s">
        <v>22</v>
      </c>
      <c r="E4197" s="4" t="s">
        <v>23</v>
      </c>
      <c r="F4197" s="4" t="s">
        <v>24</v>
      </c>
    </row>
    <row r="4198" spans="1:6" ht="15.75" thickBot="1" x14ac:dyDescent="0.3">
      <c r="A4198" s="32" t="s">
        <v>288</v>
      </c>
      <c r="B4198" s="32" t="s">
        <v>289</v>
      </c>
      <c r="C4198" s="32" t="s">
        <v>27</v>
      </c>
      <c r="D4198" s="6" t="s">
        <v>28</v>
      </c>
      <c r="E4198" s="32" t="s">
        <v>29</v>
      </c>
      <c r="F4198" s="6"/>
    </row>
    <row r="4199" spans="1:6" ht="15.75" thickBot="1" x14ac:dyDescent="0.3">
      <c r="A4199" s="35" t="s">
        <v>31</v>
      </c>
      <c r="B4199" s="7" t="s">
        <v>32</v>
      </c>
      <c r="C4199" s="15">
        <v>45474</v>
      </c>
      <c r="D4199" s="35" t="s">
        <v>33</v>
      </c>
      <c r="E4199" s="7" t="s">
        <v>34</v>
      </c>
      <c r="F4199" s="6"/>
    </row>
    <row r="4200" spans="1:6" ht="15.75" thickBot="1" x14ac:dyDescent="0.3">
      <c r="A4200" s="36"/>
      <c r="B4200" s="7" t="s">
        <v>36</v>
      </c>
      <c r="C4200" s="5">
        <f>IF(C4199="","",IF(AND(MONTH(C4199)&gt;=1,MONTH(C4199)&lt;=3),1,IF(AND(MONTH(C4199)&gt;=4,MONTH(C4199)&lt;=6),2,IF(AND(MONTH(C4199)&gt;=7,MONTH(C4199)&lt;=9),3,4))))</f>
        <v>3</v>
      </c>
      <c r="D4200" s="36"/>
      <c r="E4200" s="7" t="s">
        <v>37</v>
      </c>
      <c r="F4200" s="6"/>
    </row>
    <row r="4201" spans="1:6" ht="15.75" thickBot="1" x14ac:dyDescent="0.3">
      <c r="A4201" s="36"/>
      <c r="B4201" s="7" t="s">
        <v>39</v>
      </c>
      <c r="C4201" s="15">
        <v>45565</v>
      </c>
      <c r="D4201" s="36"/>
      <c r="E4201" s="7" t="s">
        <v>40</v>
      </c>
      <c r="F4201" s="6"/>
    </row>
    <row r="4202" spans="1:6" ht="15.75" thickBot="1" x14ac:dyDescent="0.3">
      <c r="A4202" s="36"/>
      <c r="B4202" s="7" t="s">
        <v>36</v>
      </c>
      <c r="C4202" s="5">
        <f>IF(C4201="","",IF(AND(MONTH(C4201)&gt;=1,MONTH(C4201)&lt;=3),1,IF(AND(MONTH(C4201)&gt;=4,MONTH(C4201)&lt;=6),2,IF(AND(MONTH(C4201)&gt;=7,MONTH(C4201)&lt;=9),3,4))))</f>
        <v>3</v>
      </c>
      <c r="D4202" s="36"/>
      <c r="E4202" s="7" t="s">
        <v>41</v>
      </c>
      <c r="F4202" s="6"/>
    </row>
    <row r="4203" spans="1:6" ht="15.75" thickBot="1" x14ac:dyDescent="0.3">
      <c r="A4203" s="40"/>
      <c r="B4203" s="40"/>
      <c r="C4203" s="40"/>
      <c r="D4203" s="40"/>
      <c r="E4203" s="40"/>
      <c r="F4203" s="40"/>
    </row>
    <row r="4204" spans="1:6" ht="15.75" thickBot="1" x14ac:dyDescent="0.3">
      <c r="A4204" s="12" t="s">
        <v>42</v>
      </c>
      <c r="B4204" s="12" t="s">
        <v>43</v>
      </c>
      <c r="C4204" s="12" t="s">
        <v>44</v>
      </c>
      <c r="D4204" s="12" t="s">
        <v>45</v>
      </c>
      <c r="E4204" s="12" t="s">
        <v>46</v>
      </c>
      <c r="F4204" s="12" t="s">
        <v>47</v>
      </c>
    </row>
    <row r="4205" spans="1:6" ht="22.5" x14ac:dyDescent="0.25">
      <c r="A4205" s="8">
        <v>42171917</v>
      </c>
      <c r="B4205" s="9" t="str">
        <f ca="1">IFERROR(INDEX(UNSPSCDes,MATCH(INDIRECT(ADDRESS(ROW(),COLUMN()-1,4)),UNSPSCCode,0)),"")</f>
        <v>Estuches o bolsas o accesorios de primeros auxilios para servicios médicos de emergencia</v>
      </c>
      <c r="C4205" s="33" t="s">
        <v>55</v>
      </c>
      <c r="D4205" s="8">
        <v>1400</v>
      </c>
      <c r="E4205" s="11">
        <v>1000</v>
      </c>
      <c r="F4205" s="10">
        <f ca="1">INDIRECT(ADDRESS(ROW(),COLUMN()-2,4))*INDIRECT(ADDRESS(ROW(),COLUMN()-1,4))</f>
        <v>1400000</v>
      </c>
    </row>
    <row r="4206" spans="1:6" x14ac:dyDescent="0.25">
      <c r="A4206" s="40"/>
      <c r="B4206" s="40"/>
      <c r="C4206" s="40"/>
      <c r="D4206" s="40"/>
      <c r="E4206" s="13" t="s">
        <v>87</v>
      </c>
      <c r="F4206" s="14">
        <f ca="1">SUM(Table363125[MONTO TOTAL ESTIMADO])</f>
        <v>1400000</v>
      </c>
    </row>
    <row r="4207" spans="1:6" ht="15.75" thickBot="1" x14ac:dyDescent="0.3">
      <c r="A4207" s="42"/>
      <c r="B4207" s="42"/>
      <c r="C4207" s="42"/>
      <c r="D4207" s="42"/>
      <c r="E4207" s="42"/>
      <c r="F4207" s="42"/>
    </row>
    <row r="4208" spans="1:6" ht="23.25" thickBot="1" x14ac:dyDescent="0.3">
      <c r="A4208" s="4" t="s">
        <v>19</v>
      </c>
      <c r="B4208" s="4" t="s">
        <v>20</v>
      </c>
      <c r="C4208" s="4" t="s">
        <v>21</v>
      </c>
      <c r="D4208" s="4" t="s">
        <v>22</v>
      </c>
      <c r="E4208" s="4" t="s">
        <v>23</v>
      </c>
      <c r="F4208" s="4" t="s">
        <v>24</v>
      </c>
    </row>
    <row r="4209" spans="1:6" ht="15.75" thickBot="1" x14ac:dyDescent="0.3">
      <c r="A4209" s="32" t="s">
        <v>288</v>
      </c>
      <c r="B4209" s="32" t="s">
        <v>289</v>
      </c>
      <c r="C4209" s="6" t="s">
        <v>27</v>
      </c>
      <c r="D4209" s="6" t="s">
        <v>28</v>
      </c>
      <c r="E4209" s="32" t="s">
        <v>29</v>
      </c>
      <c r="F4209" s="6"/>
    </row>
    <row r="4210" spans="1:6" ht="15.75" thickBot="1" x14ac:dyDescent="0.3">
      <c r="A4210" s="35" t="s">
        <v>31</v>
      </c>
      <c r="B4210" s="7" t="s">
        <v>32</v>
      </c>
      <c r="C4210" s="15">
        <v>45474</v>
      </c>
      <c r="D4210" s="35" t="s">
        <v>33</v>
      </c>
      <c r="E4210" s="7" t="s">
        <v>34</v>
      </c>
      <c r="F4210" s="6"/>
    </row>
    <row r="4211" spans="1:6" ht="15.75" thickBot="1" x14ac:dyDescent="0.3">
      <c r="A4211" s="36"/>
      <c r="B4211" s="7" t="s">
        <v>36</v>
      </c>
      <c r="C4211" s="5">
        <f>IF(C4210="","",IF(AND(MONTH(C4210)&gt;=1,MONTH(C4210)&lt;=3),1,IF(AND(MONTH(C4210)&gt;=4,MONTH(C4210)&lt;=6),2,IF(AND(MONTH(C4210)&gt;=7,MONTH(C4210)&lt;=9),3,4))))</f>
        <v>3</v>
      </c>
      <c r="D4211" s="36"/>
      <c r="E4211" s="7" t="s">
        <v>37</v>
      </c>
      <c r="F4211" s="6"/>
    </row>
    <row r="4212" spans="1:6" ht="15.75" thickBot="1" x14ac:dyDescent="0.3">
      <c r="A4212" s="36"/>
      <c r="B4212" s="7" t="s">
        <v>39</v>
      </c>
      <c r="C4212" s="15">
        <v>45565</v>
      </c>
      <c r="D4212" s="36"/>
      <c r="E4212" s="7" t="s">
        <v>40</v>
      </c>
      <c r="F4212" s="6"/>
    </row>
    <row r="4213" spans="1:6" ht="15.75" thickBot="1" x14ac:dyDescent="0.3">
      <c r="A4213" s="36"/>
      <c r="B4213" s="7" t="s">
        <v>36</v>
      </c>
      <c r="C4213" s="5">
        <f>IF(C4212="","",IF(AND(MONTH(C4212)&gt;=1,MONTH(C4212)&lt;=3),1,IF(AND(MONTH(C4212)&gt;=4,MONTH(C4212)&lt;=6),2,IF(AND(MONTH(C4212)&gt;=7,MONTH(C4212)&lt;=9),3,4))))</f>
        <v>3</v>
      </c>
      <c r="D4213" s="36"/>
      <c r="E4213" s="7" t="s">
        <v>41</v>
      </c>
      <c r="F4213" s="6"/>
    </row>
    <row r="4214" spans="1:6" ht="15.75" thickBot="1" x14ac:dyDescent="0.3">
      <c r="A4214" s="40"/>
      <c r="B4214" s="40"/>
      <c r="C4214" s="40"/>
      <c r="D4214" s="40"/>
      <c r="E4214" s="40"/>
      <c r="F4214" s="40"/>
    </row>
    <row r="4215" spans="1:6" ht="15.75" thickBot="1" x14ac:dyDescent="0.3">
      <c r="A4215" s="12" t="s">
        <v>42</v>
      </c>
      <c r="B4215" s="12" t="s">
        <v>43</v>
      </c>
      <c r="C4215" s="12" t="s">
        <v>44</v>
      </c>
      <c r="D4215" s="12" t="s">
        <v>45</v>
      </c>
      <c r="E4215" s="12" t="s">
        <v>46</v>
      </c>
      <c r="F4215" s="12" t="s">
        <v>47</v>
      </c>
    </row>
    <row r="4216" spans="1:6" ht="22.5" x14ac:dyDescent="0.25">
      <c r="A4216" s="8">
        <v>42171917</v>
      </c>
      <c r="B4216" s="9" t="str">
        <f ca="1">IFERROR(INDEX(UNSPSCDes,MATCH(INDIRECT(ADDRESS(ROW(),COLUMN()-1,4)),UNSPSCCode,0)),"")</f>
        <v>Estuches o bolsas o accesorios de primeros auxilios para servicios médicos de emergencia</v>
      </c>
      <c r="C4216" s="33" t="s">
        <v>55</v>
      </c>
      <c r="D4216" s="8">
        <v>1400</v>
      </c>
      <c r="E4216" s="11">
        <v>1000</v>
      </c>
      <c r="F4216" s="10">
        <f ca="1">INDIRECT(ADDRESS(ROW(),COLUMN()-2,4))*INDIRECT(ADDRESS(ROW(),COLUMN()-1,4))</f>
        <v>1400000</v>
      </c>
    </row>
    <row r="4217" spans="1:6" x14ac:dyDescent="0.25">
      <c r="A4217" s="40"/>
      <c r="B4217" s="40"/>
      <c r="C4217" s="40"/>
      <c r="D4217" s="40"/>
      <c r="E4217" s="13" t="s">
        <v>87</v>
      </c>
      <c r="F4217" s="14">
        <f ca="1">SUM(Table364126[MONTO TOTAL ESTIMADO])</f>
        <v>1400000</v>
      </c>
    </row>
    <row r="4218" spans="1:6" ht="15.75" thickBot="1" x14ac:dyDescent="0.3">
      <c r="A4218" s="42"/>
      <c r="B4218" s="42"/>
      <c r="C4218" s="42"/>
      <c r="D4218" s="42"/>
      <c r="E4218" s="42"/>
      <c r="F4218" s="42"/>
    </row>
    <row r="4219" spans="1:6" ht="23.25" thickBot="1" x14ac:dyDescent="0.3">
      <c r="A4219" s="4" t="s">
        <v>19</v>
      </c>
      <c r="B4219" s="4" t="s">
        <v>20</v>
      </c>
      <c r="C4219" s="4" t="s">
        <v>21</v>
      </c>
      <c r="D4219" s="4" t="s">
        <v>22</v>
      </c>
      <c r="E4219" s="4" t="s">
        <v>23</v>
      </c>
      <c r="F4219" s="4" t="s">
        <v>24</v>
      </c>
    </row>
    <row r="4220" spans="1:6" ht="15.75" thickBot="1" x14ac:dyDescent="0.3">
      <c r="A4220" s="32" t="s">
        <v>288</v>
      </c>
      <c r="B4220" s="32" t="s">
        <v>289</v>
      </c>
      <c r="C4220" s="6" t="s">
        <v>27</v>
      </c>
      <c r="D4220" s="6" t="s">
        <v>28</v>
      </c>
      <c r="E4220" s="32" t="s">
        <v>29</v>
      </c>
      <c r="F4220" s="6"/>
    </row>
    <row r="4221" spans="1:6" ht="15.75" thickBot="1" x14ac:dyDescent="0.3">
      <c r="A4221" s="35" t="s">
        <v>31</v>
      </c>
      <c r="B4221" s="7" t="s">
        <v>32</v>
      </c>
      <c r="C4221" s="15">
        <v>45474</v>
      </c>
      <c r="D4221" s="35" t="s">
        <v>33</v>
      </c>
      <c r="E4221" s="7" t="s">
        <v>34</v>
      </c>
      <c r="F4221" s="6"/>
    </row>
    <row r="4222" spans="1:6" ht="15.75" thickBot="1" x14ac:dyDescent="0.3">
      <c r="A4222" s="36"/>
      <c r="B4222" s="7" t="s">
        <v>36</v>
      </c>
      <c r="C4222" s="5">
        <f>IF(C4221="","",IF(AND(MONTH(C4221)&gt;=1,MONTH(C4221)&lt;=3),1,IF(AND(MONTH(C4221)&gt;=4,MONTH(C4221)&lt;=6),2,IF(AND(MONTH(C4221)&gt;=7,MONTH(C4221)&lt;=9),3,4))))</f>
        <v>3</v>
      </c>
      <c r="D4222" s="36"/>
      <c r="E4222" s="7" t="s">
        <v>37</v>
      </c>
      <c r="F4222" s="6"/>
    </row>
    <row r="4223" spans="1:6" ht="15.75" thickBot="1" x14ac:dyDescent="0.3">
      <c r="A4223" s="36"/>
      <c r="B4223" s="7" t="s">
        <v>39</v>
      </c>
      <c r="C4223" s="15">
        <v>45565</v>
      </c>
      <c r="D4223" s="36"/>
      <c r="E4223" s="7" t="s">
        <v>40</v>
      </c>
      <c r="F4223" s="6"/>
    </row>
    <row r="4224" spans="1:6" ht="15.75" thickBot="1" x14ac:dyDescent="0.3">
      <c r="A4224" s="36"/>
      <c r="B4224" s="7" t="s">
        <v>36</v>
      </c>
      <c r="C4224" s="5">
        <f>IF(C4223="","",IF(AND(MONTH(C4223)&gt;=1,MONTH(C4223)&lt;=3),1,IF(AND(MONTH(C4223)&gt;=4,MONTH(C4223)&lt;=6),2,IF(AND(MONTH(C4223)&gt;=7,MONTH(C4223)&lt;=9),3,4))))</f>
        <v>3</v>
      </c>
      <c r="D4224" s="36"/>
      <c r="E4224" s="7" t="s">
        <v>41</v>
      </c>
      <c r="F4224" s="6"/>
    </row>
    <row r="4225" spans="1:6" ht="15.75" thickBot="1" x14ac:dyDescent="0.3">
      <c r="A4225" s="40"/>
      <c r="B4225" s="40"/>
      <c r="C4225" s="40"/>
      <c r="D4225" s="40"/>
      <c r="E4225" s="40"/>
      <c r="F4225" s="40"/>
    </row>
    <row r="4226" spans="1:6" ht="15.75" thickBot="1" x14ac:dyDescent="0.3">
      <c r="A4226" s="12" t="s">
        <v>42</v>
      </c>
      <c r="B4226" s="12" t="s">
        <v>43</v>
      </c>
      <c r="C4226" s="12" t="s">
        <v>44</v>
      </c>
      <c r="D4226" s="12" t="s">
        <v>45</v>
      </c>
      <c r="E4226" s="12" t="s">
        <v>46</v>
      </c>
      <c r="F4226" s="12" t="s">
        <v>47</v>
      </c>
    </row>
    <row r="4227" spans="1:6" ht="22.5" x14ac:dyDescent="0.25">
      <c r="A4227" s="8">
        <v>42171917</v>
      </c>
      <c r="B4227" s="9" t="str">
        <f ca="1">IFERROR(INDEX(UNSPSCDes,MATCH(INDIRECT(ADDRESS(ROW(),COLUMN()-1,4)),UNSPSCCode,0)),"")</f>
        <v>Estuches o bolsas o accesorios de primeros auxilios para servicios médicos de emergencia</v>
      </c>
      <c r="C4227" s="33" t="s">
        <v>55</v>
      </c>
      <c r="D4227" s="8">
        <v>1400</v>
      </c>
      <c r="E4227" s="11">
        <v>1000</v>
      </c>
      <c r="F4227" s="10">
        <f ca="1">INDIRECT(ADDRESS(ROW(),COLUMN()-2,4))*INDIRECT(ADDRESS(ROW(),COLUMN()-1,4))</f>
        <v>1400000</v>
      </c>
    </row>
    <row r="4228" spans="1:6" x14ac:dyDescent="0.25">
      <c r="A4228" s="40"/>
      <c r="B4228" s="40"/>
      <c r="C4228" s="40"/>
      <c r="D4228" s="40"/>
      <c r="E4228" s="13" t="s">
        <v>87</v>
      </c>
      <c r="F4228" s="14">
        <f ca="1">SUM(Table365127[MONTO TOTAL ESTIMADO])</f>
        <v>1400000</v>
      </c>
    </row>
    <row r="4229" spans="1:6" ht="15.75" thickBot="1" x14ac:dyDescent="0.3">
      <c r="A4229" s="42"/>
      <c r="B4229" s="42"/>
      <c r="C4229" s="42"/>
      <c r="D4229" s="42"/>
      <c r="E4229" s="42"/>
      <c r="F4229" s="42"/>
    </row>
    <row r="4230" spans="1:6" ht="23.25" thickBot="1" x14ac:dyDescent="0.3">
      <c r="A4230" s="4" t="s">
        <v>19</v>
      </c>
      <c r="B4230" s="4" t="s">
        <v>20</v>
      </c>
      <c r="C4230" s="4" t="s">
        <v>21</v>
      </c>
      <c r="D4230" s="4" t="s">
        <v>22</v>
      </c>
      <c r="E4230" s="4" t="s">
        <v>23</v>
      </c>
      <c r="F4230" s="4" t="s">
        <v>24</v>
      </c>
    </row>
    <row r="4231" spans="1:6" ht="15.75" thickBot="1" x14ac:dyDescent="0.3">
      <c r="A4231" s="32" t="s">
        <v>288</v>
      </c>
      <c r="B4231" s="32" t="s">
        <v>289</v>
      </c>
      <c r="C4231" s="6" t="s">
        <v>27</v>
      </c>
      <c r="D4231" s="6" t="s">
        <v>28</v>
      </c>
      <c r="E4231" s="32" t="s">
        <v>29</v>
      </c>
      <c r="F4231" s="6"/>
    </row>
    <row r="4232" spans="1:6" ht="15.75" thickBot="1" x14ac:dyDescent="0.3">
      <c r="A4232" s="35" t="s">
        <v>31</v>
      </c>
      <c r="B4232" s="7" t="s">
        <v>32</v>
      </c>
      <c r="C4232" s="15">
        <v>45474</v>
      </c>
      <c r="D4232" s="35" t="s">
        <v>33</v>
      </c>
      <c r="E4232" s="7" t="s">
        <v>34</v>
      </c>
      <c r="F4232" s="6"/>
    </row>
    <row r="4233" spans="1:6" ht="15.75" thickBot="1" x14ac:dyDescent="0.3">
      <c r="A4233" s="36"/>
      <c r="B4233" s="7" t="s">
        <v>36</v>
      </c>
      <c r="C4233" s="5">
        <f>IF(C4232="","",IF(AND(MONTH(C4232)&gt;=1,MONTH(C4232)&lt;=3),1,IF(AND(MONTH(C4232)&gt;=4,MONTH(C4232)&lt;=6),2,IF(AND(MONTH(C4232)&gt;=7,MONTH(C4232)&lt;=9),3,4))))</f>
        <v>3</v>
      </c>
      <c r="D4233" s="36"/>
      <c r="E4233" s="7" t="s">
        <v>37</v>
      </c>
      <c r="F4233" s="6"/>
    </row>
    <row r="4234" spans="1:6" ht="15.75" thickBot="1" x14ac:dyDescent="0.3">
      <c r="A4234" s="36"/>
      <c r="B4234" s="7" t="s">
        <v>39</v>
      </c>
      <c r="C4234" s="15">
        <v>45565</v>
      </c>
      <c r="D4234" s="36"/>
      <c r="E4234" s="7" t="s">
        <v>40</v>
      </c>
      <c r="F4234" s="6"/>
    </row>
    <row r="4235" spans="1:6" ht="15.75" thickBot="1" x14ac:dyDescent="0.3">
      <c r="A4235" s="36"/>
      <c r="B4235" s="7" t="s">
        <v>36</v>
      </c>
      <c r="C4235" s="5">
        <f>IF(C4234="","",IF(AND(MONTH(C4234)&gt;=1,MONTH(C4234)&lt;=3),1,IF(AND(MONTH(C4234)&gt;=4,MONTH(C4234)&lt;=6),2,IF(AND(MONTH(C4234)&gt;=7,MONTH(C4234)&lt;=9),3,4))))</f>
        <v>3</v>
      </c>
      <c r="D4235" s="36"/>
      <c r="E4235" s="7" t="s">
        <v>41</v>
      </c>
      <c r="F4235" s="6"/>
    </row>
    <row r="4236" spans="1:6" ht="15.75" thickBot="1" x14ac:dyDescent="0.3">
      <c r="A4236" s="40"/>
      <c r="B4236" s="40"/>
      <c r="C4236" s="40"/>
      <c r="D4236" s="40"/>
      <c r="E4236" s="40"/>
      <c r="F4236" s="40"/>
    </row>
    <row r="4237" spans="1:6" ht="15.75" thickBot="1" x14ac:dyDescent="0.3">
      <c r="A4237" s="12" t="s">
        <v>42</v>
      </c>
      <c r="B4237" s="12" t="s">
        <v>43</v>
      </c>
      <c r="C4237" s="12" t="s">
        <v>44</v>
      </c>
      <c r="D4237" s="12" t="s">
        <v>45</v>
      </c>
      <c r="E4237" s="12" t="s">
        <v>46</v>
      </c>
      <c r="F4237" s="12" t="s">
        <v>47</v>
      </c>
    </row>
    <row r="4238" spans="1:6" ht="22.5" x14ac:dyDescent="0.25">
      <c r="A4238" s="8">
        <v>42171917</v>
      </c>
      <c r="B4238" s="9" t="str">
        <f ca="1">IFERROR(INDEX(UNSPSCDes,MATCH(INDIRECT(ADDRESS(ROW(),COLUMN()-1,4)),UNSPSCCode,0)),"")</f>
        <v>Estuches o bolsas o accesorios de primeros auxilios para servicios médicos de emergencia</v>
      </c>
      <c r="C4238" s="33" t="s">
        <v>55</v>
      </c>
      <c r="D4238" s="8">
        <v>1400</v>
      </c>
      <c r="E4238" s="11">
        <v>1000</v>
      </c>
      <c r="F4238" s="10">
        <f ca="1">INDIRECT(ADDRESS(ROW(),COLUMN()-2,4))*INDIRECT(ADDRESS(ROW(),COLUMN()-1,4))</f>
        <v>1400000</v>
      </c>
    </row>
    <row r="4239" spans="1:6" x14ac:dyDescent="0.25">
      <c r="A4239" s="40"/>
      <c r="B4239" s="40"/>
      <c r="C4239" s="40"/>
      <c r="D4239" s="40"/>
      <c r="E4239" s="13" t="s">
        <v>87</v>
      </c>
      <c r="F4239" s="14">
        <f ca="1">SUM(Table366128[MONTO TOTAL ESTIMADO])</f>
        <v>1400000</v>
      </c>
    </row>
    <row r="4240" spans="1:6" ht="15.75" thickBot="1" x14ac:dyDescent="0.3">
      <c r="A4240" s="42"/>
      <c r="B4240" s="42"/>
      <c r="C4240" s="42"/>
      <c r="D4240" s="42"/>
      <c r="E4240" s="42"/>
      <c r="F4240" s="42"/>
    </row>
    <row r="4241" spans="1:6" ht="23.25" thickBot="1" x14ac:dyDescent="0.3">
      <c r="A4241" s="4" t="s">
        <v>19</v>
      </c>
      <c r="B4241" s="4" t="s">
        <v>20</v>
      </c>
      <c r="C4241" s="4" t="s">
        <v>21</v>
      </c>
      <c r="D4241" s="4" t="s">
        <v>22</v>
      </c>
      <c r="E4241" s="4" t="s">
        <v>23</v>
      </c>
      <c r="F4241" s="4" t="s">
        <v>24</v>
      </c>
    </row>
    <row r="4242" spans="1:6" ht="15.75" thickBot="1" x14ac:dyDescent="0.3">
      <c r="A4242" s="32" t="s">
        <v>288</v>
      </c>
      <c r="B4242" s="32" t="s">
        <v>289</v>
      </c>
      <c r="C4242" s="32" t="s">
        <v>27</v>
      </c>
      <c r="D4242" s="6" t="s">
        <v>28</v>
      </c>
      <c r="E4242" s="32" t="s">
        <v>29</v>
      </c>
      <c r="F4242" s="6"/>
    </row>
    <row r="4243" spans="1:6" ht="15.75" thickBot="1" x14ac:dyDescent="0.3">
      <c r="A4243" s="35" t="s">
        <v>31</v>
      </c>
      <c r="B4243" s="7" t="s">
        <v>32</v>
      </c>
      <c r="C4243" s="15">
        <v>45474</v>
      </c>
      <c r="D4243" s="35" t="s">
        <v>33</v>
      </c>
      <c r="E4243" s="7" t="s">
        <v>34</v>
      </c>
      <c r="F4243" s="6"/>
    </row>
    <row r="4244" spans="1:6" ht="15.75" thickBot="1" x14ac:dyDescent="0.3">
      <c r="A4244" s="36"/>
      <c r="B4244" s="7" t="s">
        <v>36</v>
      </c>
      <c r="C4244" s="5">
        <f>IF(C4243="","",IF(AND(MONTH(C4243)&gt;=1,MONTH(C4243)&lt;=3),1,IF(AND(MONTH(C4243)&gt;=4,MONTH(C4243)&lt;=6),2,IF(AND(MONTH(C4243)&gt;=7,MONTH(C4243)&lt;=9),3,4))))</f>
        <v>3</v>
      </c>
      <c r="D4244" s="36"/>
      <c r="E4244" s="7" t="s">
        <v>37</v>
      </c>
      <c r="F4244" s="6"/>
    </row>
    <row r="4245" spans="1:6" ht="15.75" thickBot="1" x14ac:dyDescent="0.3">
      <c r="A4245" s="36"/>
      <c r="B4245" s="7" t="s">
        <v>39</v>
      </c>
      <c r="C4245" s="15">
        <v>45565</v>
      </c>
      <c r="D4245" s="36"/>
      <c r="E4245" s="7" t="s">
        <v>40</v>
      </c>
      <c r="F4245" s="6"/>
    </row>
    <row r="4246" spans="1:6" ht="15.75" thickBot="1" x14ac:dyDescent="0.3">
      <c r="A4246" s="36"/>
      <c r="B4246" s="7" t="s">
        <v>36</v>
      </c>
      <c r="C4246" s="5">
        <f>IF(C4245="","",IF(AND(MONTH(C4245)&gt;=1,MONTH(C4245)&lt;=3),1,IF(AND(MONTH(C4245)&gt;=4,MONTH(C4245)&lt;=6),2,IF(AND(MONTH(C4245)&gt;=7,MONTH(C4245)&lt;=9),3,4))))</f>
        <v>3</v>
      </c>
      <c r="D4246" s="36"/>
      <c r="E4246" s="7" t="s">
        <v>41</v>
      </c>
      <c r="F4246" s="6"/>
    </row>
    <row r="4247" spans="1:6" ht="15.75" thickBot="1" x14ac:dyDescent="0.3">
      <c r="A4247" s="40"/>
      <c r="B4247" s="40"/>
      <c r="C4247" s="40"/>
      <c r="D4247" s="40"/>
      <c r="E4247" s="40"/>
      <c r="F4247" s="40"/>
    </row>
    <row r="4248" spans="1:6" ht="15.75" thickBot="1" x14ac:dyDescent="0.3">
      <c r="A4248" s="12" t="s">
        <v>42</v>
      </c>
      <c r="B4248" s="12" t="s">
        <v>43</v>
      </c>
      <c r="C4248" s="12" t="s">
        <v>44</v>
      </c>
      <c r="D4248" s="12" t="s">
        <v>45</v>
      </c>
      <c r="E4248" s="12" t="s">
        <v>46</v>
      </c>
      <c r="F4248" s="12" t="s">
        <v>47</v>
      </c>
    </row>
    <row r="4249" spans="1:6" ht="22.5" x14ac:dyDescent="0.25">
      <c r="A4249" s="8">
        <v>42171917</v>
      </c>
      <c r="B4249" s="9" t="str">
        <f ca="1">IFERROR(INDEX(UNSPSCDes,MATCH(INDIRECT(ADDRESS(ROW(),COLUMN()-1,4)),UNSPSCCode,0)),"")</f>
        <v>Estuches o bolsas o accesorios de primeros auxilios para servicios médicos de emergencia</v>
      </c>
      <c r="C4249" s="33" t="s">
        <v>55</v>
      </c>
      <c r="D4249" s="8">
        <v>1400</v>
      </c>
      <c r="E4249" s="11">
        <v>1000</v>
      </c>
      <c r="F4249" s="10">
        <f ca="1">INDIRECT(ADDRESS(ROW(),COLUMN()-2,4))*INDIRECT(ADDRESS(ROW(),COLUMN()-1,4))</f>
        <v>1400000</v>
      </c>
    </row>
    <row r="4250" spans="1:6" x14ac:dyDescent="0.25">
      <c r="A4250" s="40"/>
      <c r="B4250" s="40"/>
      <c r="C4250" s="40"/>
      <c r="D4250" s="40"/>
      <c r="E4250" s="13" t="s">
        <v>87</v>
      </c>
      <c r="F4250" s="14">
        <f ca="1">SUM(Table367129[MONTO TOTAL ESTIMADO])</f>
        <v>1400000</v>
      </c>
    </row>
    <row r="4251" spans="1:6" ht="15.75" thickBot="1" x14ac:dyDescent="0.3">
      <c r="A4251" s="42"/>
      <c r="B4251" s="42"/>
      <c r="C4251" s="42"/>
      <c r="D4251" s="42"/>
      <c r="E4251" s="42"/>
      <c r="F4251" s="42"/>
    </row>
    <row r="4252" spans="1:6" ht="23.25" thickBot="1" x14ac:dyDescent="0.3">
      <c r="A4252" s="4" t="s">
        <v>19</v>
      </c>
      <c r="B4252" s="4" t="s">
        <v>20</v>
      </c>
      <c r="C4252" s="4" t="s">
        <v>21</v>
      </c>
      <c r="D4252" s="4" t="s">
        <v>22</v>
      </c>
      <c r="E4252" s="4" t="s">
        <v>23</v>
      </c>
      <c r="F4252" s="4" t="s">
        <v>24</v>
      </c>
    </row>
    <row r="4253" spans="1:6" ht="15.75" thickBot="1" x14ac:dyDescent="0.3">
      <c r="A4253" s="32" t="s">
        <v>288</v>
      </c>
      <c r="B4253" s="32" t="s">
        <v>289</v>
      </c>
      <c r="C4253" s="6" t="s">
        <v>27</v>
      </c>
      <c r="D4253" s="6" t="s">
        <v>28</v>
      </c>
      <c r="E4253" s="32" t="s">
        <v>29</v>
      </c>
      <c r="F4253" s="6"/>
    </row>
    <row r="4254" spans="1:6" ht="15.75" thickBot="1" x14ac:dyDescent="0.3">
      <c r="A4254" s="35" t="s">
        <v>31</v>
      </c>
      <c r="B4254" s="7" t="s">
        <v>32</v>
      </c>
      <c r="C4254" s="15">
        <v>45474</v>
      </c>
      <c r="D4254" s="35" t="s">
        <v>33</v>
      </c>
      <c r="E4254" s="7" t="s">
        <v>34</v>
      </c>
      <c r="F4254" s="6"/>
    </row>
    <row r="4255" spans="1:6" ht="15.75" thickBot="1" x14ac:dyDescent="0.3">
      <c r="A4255" s="36"/>
      <c r="B4255" s="7" t="s">
        <v>36</v>
      </c>
      <c r="C4255" s="5">
        <f>IF(C4254="","",IF(AND(MONTH(C4254)&gt;=1,MONTH(C4254)&lt;=3),1,IF(AND(MONTH(C4254)&gt;=4,MONTH(C4254)&lt;=6),2,IF(AND(MONTH(C4254)&gt;=7,MONTH(C4254)&lt;=9),3,4))))</f>
        <v>3</v>
      </c>
      <c r="D4255" s="36"/>
      <c r="E4255" s="7" t="s">
        <v>37</v>
      </c>
      <c r="F4255" s="6"/>
    </row>
    <row r="4256" spans="1:6" ht="15.75" thickBot="1" x14ac:dyDescent="0.3">
      <c r="A4256" s="36"/>
      <c r="B4256" s="7" t="s">
        <v>39</v>
      </c>
      <c r="C4256" s="15">
        <v>45565</v>
      </c>
      <c r="D4256" s="36"/>
      <c r="E4256" s="7" t="s">
        <v>40</v>
      </c>
      <c r="F4256" s="6"/>
    </row>
    <row r="4257" spans="1:6" ht="15.75" thickBot="1" x14ac:dyDescent="0.3">
      <c r="A4257" s="36"/>
      <c r="B4257" s="7" t="s">
        <v>36</v>
      </c>
      <c r="C4257" s="5">
        <f>IF(C4256="","",IF(AND(MONTH(C4256)&gt;=1,MONTH(C4256)&lt;=3),1,IF(AND(MONTH(C4256)&gt;=4,MONTH(C4256)&lt;=6),2,IF(AND(MONTH(C4256)&gt;=7,MONTH(C4256)&lt;=9),3,4))))</f>
        <v>3</v>
      </c>
      <c r="D4257" s="36"/>
      <c r="E4257" s="7" t="s">
        <v>41</v>
      </c>
      <c r="F4257" s="6"/>
    </row>
    <row r="4258" spans="1:6" ht="15.75" thickBot="1" x14ac:dyDescent="0.3">
      <c r="A4258" s="40"/>
      <c r="B4258" s="40"/>
      <c r="C4258" s="40"/>
      <c r="D4258" s="40"/>
      <c r="E4258" s="40"/>
      <c r="F4258" s="40"/>
    </row>
    <row r="4259" spans="1:6" ht="15.75" thickBot="1" x14ac:dyDescent="0.3">
      <c r="A4259" s="12" t="s">
        <v>42</v>
      </c>
      <c r="B4259" s="12" t="s">
        <v>43</v>
      </c>
      <c r="C4259" s="12" t="s">
        <v>44</v>
      </c>
      <c r="D4259" s="12" t="s">
        <v>45</v>
      </c>
      <c r="E4259" s="12" t="s">
        <v>46</v>
      </c>
      <c r="F4259" s="12" t="s">
        <v>47</v>
      </c>
    </row>
    <row r="4260" spans="1:6" ht="22.5" x14ac:dyDescent="0.25">
      <c r="A4260" s="8">
        <v>42171917</v>
      </c>
      <c r="B4260" s="9" t="str">
        <f ca="1">IFERROR(INDEX(UNSPSCDes,MATCH(INDIRECT(ADDRESS(ROW(),COLUMN()-1,4)),UNSPSCCode,0)),"")</f>
        <v>Estuches o bolsas o accesorios de primeros auxilios para servicios médicos de emergencia</v>
      </c>
      <c r="C4260" s="33" t="s">
        <v>55</v>
      </c>
      <c r="D4260" s="8">
        <v>1400</v>
      </c>
      <c r="E4260" s="11">
        <v>1000</v>
      </c>
      <c r="F4260" s="10">
        <f ca="1">INDIRECT(ADDRESS(ROW(),COLUMN()-2,4))*INDIRECT(ADDRESS(ROW(),COLUMN()-1,4))</f>
        <v>1400000</v>
      </c>
    </row>
    <row r="4261" spans="1:6" x14ac:dyDescent="0.25">
      <c r="A4261" s="40"/>
      <c r="B4261" s="40"/>
      <c r="C4261" s="40"/>
      <c r="D4261" s="40"/>
      <c r="E4261" s="13" t="s">
        <v>87</v>
      </c>
      <c r="F4261" s="14">
        <f ca="1">SUM(Table368130[MONTO TOTAL ESTIMADO])</f>
        <v>1400000</v>
      </c>
    </row>
    <row r="4262" spans="1:6" ht="15.75" thickBot="1" x14ac:dyDescent="0.3">
      <c r="A4262" s="42"/>
      <c r="B4262" s="42"/>
      <c r="C4262" s="42"/>
      <c r="D4262" s="42"/>
      <c r="E4262" s="42"/>
      <c r="F4262" s="42"/>
    </row>
    <row r="4263" spans="1:6" ht="23.25" thickBot="1" x14ac:dyDescent="0.3">
      <c r="A4263" s="4" t="s">
        <v>19</v>
      </c>
      <c r="B4263" s="4" t="s">
        <v>20</v>
      </c>
      <c r="C4263" s="4" t="s">
        <v>21</v>
      </c>
      <c r="D4263" s="4" t="s">
        <v>22</v>
      </c>
      <c r="E4263" s="4" t="s">
        <v>23</v>
      </c>
      <c r="F4263" s="4" t="s">
        <v>24</v>
      </c>
    </row>
    <row r="4264" spans="1:6" ht="15.75" thickBot="1" x14ac:dyDescent="0.3">
      <c r="A4264" s="32" t="s">
        <v>291</v>
      </c>
      <c r="B4264" s="32" t="s">
        <v>292</v>
      </c>
      <c r="C4264" s="32" t="s">
        <v>129</v>
      </c>
      <c r="D4264" s="6" t="s">
        <v>28</v>
      </c>
      <c r="E4264" s="32" t="s">
        <v>262</v>
      </c>
      <c r="F4264" s="6"/>
    </row>
    <row r="4265" spans="1:6" ht="15.75" thickBot="1" x14ac:dyDescent="0.3">
      <c r="A4265" s="35" t="s">
        <v>31</v>
      </c>
      <c r="B4265" s="7" t="s">
        <v>32</v>
      </c>
      <c r="C4265" s="15">
        <v>45474</v>
      </c>
      <c r="D4265" s="35" t="s">
        <v>33</v>
      </c>
      <c r="E4265" s="7" t="s">
        <v>34</v>
      </c>
      <c r="F4265" s="6"/>
    </row>
    <row r="4266" spans="1:6" ht="15.75" thickBot="1" x14ac:dyDescent="0.3">
      <c r="A4266" s="36"/>
      <c r="B4266" s="7" t="s">
        <v>36</v>
      </c>
      <c r="C4266" s="5">
        <f>IF(C4265="","",IF(AND(MONTH(C4265)&gt;=1,MONTH(C4265)&lt;=3),1,IF(AND(MONTH(C4265)&gt;=4,MONTH(C4265)&lt;=6),2,IF(AND(MONTH(C4265)&gt;=7,MONTH(C4265)&lt;=9),3,4))))</f>
        <v>3</v>
      </c>
      <c r="D4266" s="36"/>
      <c r="E4266" s="7" t="s">
        <v>37</v>
      </c>
      <c r="F4266" s="6"/>
    </row>
    <row r="4267" spans="1:6" ht="15.75" thickBot="1" x14ac:dyDescent="0.3">
      <c r="A4267" s="36"/>
      <c r="B4267" s="7" t="s">
        <v>39</v>
      </c>
      <c r="C4267" s="15">
        <v>45565</v>
      </c>
      <c r="D4267" s="36"/>
      <c r="E4267" s="7" t="s">
        <v>40</v>
      </c>
      <c r="F4267" s="6"/>
    </row>
    <row r="4268" spans="1:6" ht="15.75" thickBot="1" x14ac:dyDescent="0.3">
      <c r="A4268" s="36"/>
      <c r="B4268" s="7" t="s">
        <v>36</v>
      </c>
      <c r="C4268" s="5">
        <f>IF(C4267="","",IF(AND(MONTH(C4267)&gt;=1,MONTH(C4267)&lt;=3),1,IF(AND(MONTH(C4267)&gt;=4,MONTH(C4267)&lt;=6),2,IF(AND(MONTH(C4267)&gt;=7,MONTH(C4267)&lt;=9),3,4))))</f>
        <v>3</v>
      </c>
      <c r="D4268" s="36"/>
      <c r="E4268" s="7" t="s">
        <v>41</v>
      </c>
      <c r="F4268" s="6"/>
    </row>
    <row r="4269" spans="1:6" ht="15.75" thickBot="1" x14ac:dyDescent="0.3">
      <c r="A4269" s="40"/>
      <c r="B4269" s="40"/>
      <c r="C4269" s="40"/>
      <c r="D4269" s="40"/>
      <c r="E4269" s="40"/>
      <c r="F4269" s="40"/>
    </row>
    <row r="4270" spans="1:6" ht="15.75" thickBot="1" x14ac:dyDescent="0.3">
      <c r="A4270" s="12" t="s">
        <v>42</v>
      </c>
      <c r="B4270" s="12" t="s">
        <v>43</v>
      </c>
      <c r="C4270" s="12" t="s">
        <v>44</v>
      </c>
      <c r="D4270" s="12" t="s">
        <v>45</v>
      </c>
      <c r="E4270" s="12" t="s">
        <v>46</v>
      </c>
      <c r="F4270" s="12" t="s">
        <v>47</v>
      </c>
    </row>
    <row r="4271" spans="1:6" x14ac:dyDescent="0.25">
      <c r="A4271" s="8">
        <v>90101603</v>
      </c>
      <c r="B4271" s="9" t="str">
        <f ca="1">IFERROR(INDEX(UNSPSCDes,MATCH(INDIRECT(ADDRESS(ROW(),COLUMN()-1,4)),UNSPSCCode,0)),"")</f>
        <v>Servicios de cáterin</v>
      </c>
      <c r="C4271" s="8" t="s">
        <v>55</v>
      </c>
      <c r="D4271" s="8">
        <v>1</v>
      </c>
      <c r="E4271" s="11">
        <v>465000</v>
      </c>
      <c r="F4271" s="10">
        <f ca="1">INDIRECT(ADDRESS(ROW(),COLUMN()-2,4))*INDIRECT(ADDRESS(ROW(),COLUMN()-1,4))</f>
        <v>465000</v>
      </c>
    </row>
    <row r="4272" spans="1:6" x14ac:dyDescent="0.25">
      <c r="A4272" s="8">
        <v>90101802</v>
      </c>
      <c r="B4272" s="9" t="str">
        <f ca="1">IFERROR(INDEX(UNSPSCDes,MATCH(INDIRECT(ADDRESS(ROW(),COLUMN()-1,4)),UNSPSCCode,0)),"")</f>
        <v>Servicios de comidas a domicilio</v>
      </c>
      <c r="C4272" s="33" t="s">
        <v>55</v>
      </c>
      <c r="D4272" s="8">
        <v>1</v>
      </c>
      <c r="E4272" s="11">
        <v>895000</v>
      </c>
      <c r="F4272" s="10">
        <f ca="1">INDIRECT(ADDRESS(ROW(),COLUMN()-2,4))*INDIRECT(ADDRESS(ROW(),COLUMN()-1,4))</f>
        <v>895000</v>
      </c>
    </row>
    <row r="4273" spans="1:6" x14ac:dyDescent="0.25">
      <c r="A4273" s="40"/>
      <c r="B4273" s="40"/>
      <c r="C4273" s="40"/>
      <c r="D4273" s="40"/>
      <c r="E4273" s="13" t="s">
        <v>87</v>
      </c>
      <c r="F4273" s="14">
        <f ca="1">SUM(Table369131[MONTO TOTAL ESTIMADO])</f>
        <v>1360000</v>
      </c>
    </row>
    <row r="4274" spans="1:6" ht="15.75" thickBot="1" x14ac:dyDescent="0.3">
      <c r="A4274" s="42"/>
      <c r="B4274" s="42"/>
      <c r="C4274" s="42"/>
      <c r="D4274" s="42"/>
      <c r="E4274" s="42"/>
      <c r="F4274" s="42"/>
    </row>
    <row r="4275" spans="1:6" ht="23.25" thickBot="1" x14ac:dyDescent="0.3">
      <c r="A4275" s="4" t="s">
        <v>19</v>
      </c>
      <c r="B4275" s="4" t="s">
        <v>20</v>
      </c>
      <c r="C4275" s="4" t="s">
        <v>21</v>
      </c>
      <c r="D4275" s="4" t="s">
        <v>22</v>
      </c>
      <c r="E4275" s="4" t="s">
        <v>23</v>
      </c>
      <c r="F4275" s="4" t="s">
        <v>24</v>
      </c>
    </row>
    <row r="4276" spans="1:6" ht="15.75" thickBot="1" x14ac:dyDescent="0.3">
      <c r="A4276" s="32" t="s">
        <v>219</v>
      </c>
      <c r="B4276" s="32" t="s">
        <v>294</v>
      </c>
      <c r="C4276" s="32" t="s">
        <v>129</v>
      </c>
      <c r="D4276" s="6" t="s">
        <v>28</v>
      </c>
      <c r="E4276" s="32" t="s">
        <v>262</v>
      </c>
      <c r="F4276" s="6"/>
    </row>
    <row r="4277" spans="1:6" ht="15.75" thickBot="1" x14ac:dyDescent="0.3">
      <c r="A4277" s="35" t="s">
        <v>31</v>
      </c>
      <c r="B4277" s="7" t="s">
        <v>32</v>
      </c>
      <c r="C4277" s="15">
        <v>45474</v>
      </c>
      <c r="D4277" s="35" t="s">
        <v>33</v>
      </c>
      <c r="E4277" s="7" t="s">
        <v>34</v>
      </c>
      <c r="F4277" s="6"/>
    </row>
    <row r="4278" spans="1:6" ht="15.75" thickBot="1" x14ac:dyDescent="0.3">
      <c r="A4278" s="36"/>
      <c r="B4278" s="7" t="s">
        <v>36</v>
      </c>
      <c r="C4278" s="5">
        <f>IF(C4277="","",IF(AND(MONTH(C4277)&gt;=1,MONTH(C4277)&lt;=3),1,IF(AND(MONTH(C4277)&gt;=4,MONTH(C4277)&lt;=6),2,IF(AND(MONTH(C4277)&gt;=7,MONTH(C4277)&lt;=9),3,4))))</f>
        <v>3</v>
      </c>
      <c r="D4278" s="36"/>
      <c r="E4278" s="7" t="s">
        <v>37</v>
      </c>
      <c r="F4278" s="6"/>
    </row>
    <row r="4279" spans="1:6" ht="15.75" thickBot="1" x14ac:dyDescent="0.3">
      <c r="A4279" s="36"/>
      <c r="B4279" s="7" t="s">
        <v>39</v>
      </c>
      <c r="C4279" s="15">
        <v>45565</v>
      </c>
      <c r="D4279" s="36"/>
      <c r="E4279" s="7" t="s">
        <v>40</v>
      </c>
      <c r="F4279" s="6"/>
    </row>
    <row r="4280" spans="1:6" ht="15.75" thickBot="1" x14ac:dyDescent="0.3">
      <c r="A4280" s="36"/>
      <c r="B4280" s="7" t="s">
        <v>36</v>
      </c>
      <c r="C4280" s="5">
        <f>IF(C4279="","",IF(AND(MONTH(C4279)&gt;=1,MONTH(C4279)&lt;=3),1,IF(AND(MONTH(C4279)&gt;=4,MONTH(C4279)&lt;=6),2,IF(AND(MONTH(C4279)&gt;=7,MONTH(C4279)&lt;=9),3,4))))</f>
        <v>3</v>
      </c>
      <c r="D4280" s="36"/>
      <c r="E4280" s="7" t="s">
        <v>41</v>
      </c>
      <c r="F4280" s="6"/>
    </row>
    <row r="4281" spans="1:6" ht="15.75" thickBot="1" x14ac:dyDescent="0.3">
      <c r="A4281" s="40"/>
      <c r="B4281" s="40"/>
      <c r="C4281" s="40"/>
      <c r="D4281" s="40"/>
      <c r="E4281" s="40"/>
      <c r="F4281" s="40"/>
    </row>
    <row r="4282" spans="1:6" ht="15.75" thickBot="1" x14ac:dyDescent="0.3">
      <c r="A4282" s="12" t="s">
        <v>42</v>
      </c>
      <c r="B4282" s="12" t="s">
        <v>43</v>
      </c>
      <c r="C4282" s="12" t="s">
        <v>44</v>
      </c>
      <c r="D4282" s="12" t="s">
        <v>45</v>
      </c>
      <c r="E4282" s="12" t="s">
        <v>46</v>
      </c>
      <c r="F4282" s="12" t="s">
        <v>47</v>
      </c>
    </row>
    <row r="4283" spans="1:6" x14ac:dyDescent="0.25">
      <c r="A4283" s="8">
        <v>80141607</v>
      </c>
      <c r="B4283" s="9" t="str">
        <f ca="1">IFERROR(INDEX(UNSPSCDes,MATCH(INDIRECT(ADDRESS(ROW(),COLUMN()-1,4)),UNSPSCCode,0)),"")</f>
        <v>Gestión de eventos</v>
      </c>
      <c r="C4283" s="8" t="s">
        <v>55</v>
      </c>
      <c r="D4283" s="8">
        <v>1</v>
      </c>
      <c r="E4283" s="11">
        <v>1295000</v>
      </c>
      <c r="F4283" s="10">
        <f ca="1">INDIRECT(ADDRESS(ROW(),COLUMN()-2,4))*INDIRECT(ADDRESS(ROW(),COLUMN()-1,4))</f>
        <v>1295000</v>
      </c>
    </row>
    <row r="4284" spans="1:6" x14ac:dyDescent="0.25">
      <c r="A4284" s="40"/>
      <c r="B4284" s="40"/>
      <c r="C4284" s="40"/>
      <c r="D4284" s="40"/>
      <c r="E4284" s="13" t="s">
        <v>87</v>
      </c>
      <c r="F4284" s="14">
        <f ca="1">SUM(Table370132[MONTO TOTAL ESTIMADO])</f>
        <v>1295000</v>
      </c>
    </row>
    <row r="4285" spans="1:6" ht="15.75" thickBot="1" x14ac:dyDescent="0.3">
      <c r="A4285" s="42"/>
      <c r="B4285" s="42"/>
      <c r="C4285" s="42"/>
      <c r="D4285" s="42"/>
      <c r="E4285" s="42"/>
      <c r="F4285" s="42"/>
    </row>
    <row r="4286" spans="1:6" ht="23.25" thickBot="1" x14ac:dyDescent="0.3">
      <c r="A4286" s="4" t="s">
        <v>19</v>
      </c>
      <c r="B4286" s="4" t="s">
        <v>20</v>
      </c>
      <c r="C4286" s="4" t="s">
        <v>21</v>
      </c>
      <c r="D4286" s="4" t="s">
        <v>22</v>
      </c>
      <c r="E4286" s="4" t="s">
        <v>23</v>
      </c>
      <c r="F4286" s="4" t="s">
        <v>24</v>
      </c>
    </row>
    <row r="4287" spans="1:6" ht="15.75" thickBot="1" x14ac:dyDescent="0.3">
      <c r="A4287" s="32" t="s">
        <v>295</v>
      </c>
      <c r="B4287" s="32" t="s">
        <v>296</v>
      </c>
      <c r="C4287" s="32" t="s">
        <v>129</v>
      </c>
      <c r="D4287" s="6" t="s">
        <v>28</v>
      </c>
      <c r="E4287" s="32" t="s">
        <v>262</v>
      </c>
      <c r="F4287" s="6"/>
    </row>
    <row r="4288" spans="1:6" ht="15.75" thickBot="1" x14ac:dyDescent="0.3">
      <c r="A4288" s="35" t="s">
        <v>31</v>
      </c>
      <c r="B4288" s="7" t="s">
        <v>32</v>
      </c>
      <c r="C4288" s="15">
        <v>45474</v>
      </c>
      <c r="D4288" s="35" t="s">
        <v>33</v>
      </c>
      <c r="E4288" s="7" t="s">
        <v>34</v>
      </c>
      <c r="F4288" s="6"/>
    </row>
    <row r="4289" spans="1:6" ht="15.75" thickBot="1" x14ac:dyDescent="0.3">
      <c r="A4289" s="36"/>
      <c r="B4289" s="7" t="s">
        <v>36</v>
      </c>
      <c r="C4289" s="5">
        <f>IF(C4288="","",IF(AND(MONTH(C4288)&gt;=1,MONTH(C4288)&lt;=3),1,IF(AND(MONTH(C4288)&gt;=4,MONTH(C4288)&lt;=6),2,IF(AND(MONTH(C4288)&gt;=7,MONTH(C4288)&lt;=9),3,4))))</f>
        <v>3</v>
      </c>
      <c r="D4289" s="36"/>
      <c r="E4289" s="7" t="s">
        <v>37</v>
      </c>
      <c r="F4289" s="6"/>
    </row>
    <row r="4290" spans="1:6" ht="15.75" thickBot="1" x14ac:dyDescent="0.3">
      <c r="A4290" s="36"/>
      <c r="B4290" s="7" t="s">
        <v>39</v>
      </c>
      <c r="C4290" s="15">
        <v>45565</v>
      </c>
      <c r="D4290" s="36"/>
      <c r="E4290" s="7" t="s">
        <v>40</v>
      </c>
      <c r="F4290" s="6"/>
    </row>
    <row r="4291" spans="1:6" ht="15.75" thickBot="1" x14ac:dyDescent="0.3">
      <c r="A4291" s="36"/>
      <c r="B4291" s="7" t="s">
        <v>36</v>
      </c>
      <c r="C4291" s="5">
        <f>IF(C4290="","",IF(AND(MONTH(C4290)&gt;=1,MONTH(C4290)&lt;=3),1,IF(AND(MONTH(C4290)&gt;=4,MONTH(C4290)&lt;=6),2,IF(AND(MONTH(C4290)&gt;=7,MONTH(C4290)&lt;=9),3,4))))</f>
        <v>3</v>
      </c>
      <c r="D4291" s="36"/>
      <c r="E4291" s="7" t="s">
        <v>41</v>
      </c>
      <c r="F4291" s="6"/>
    </row>
    <row r="4292" spans="1:6" ht="15.75" thickBot="1" x14ac:dyDescent="0.3">
      <c r="A4292" s="40"/>
      <c r="B4292" s="40"/>
      <c r="C4292" s="40"/>
      <c r="D4292" s="40"/>
      <c r="E4292" s="40"/>
      <c r="F4292" s="40"/>
    </row>
    <row r="4293" spans="1:6" ht="15.75" thickBot="1" x14ac:dyDescent="0.3">
      <c r="A4293" s="12" t="s">
        <v>42</v>
      </c>
      <c r="B4293" s="12" t="s">
        <v>43</v>
      </c>
      <c r="C4293" s="12" t="s">
        <v>44</v>
      </c>
      <c r="D4293" s="12" t="s">
        <v>45</v>
      </c>
      <c r="E4293" s="12" t="s">
        <v>46</v>
      </c>
      <c r="F4293" s="12" t="s">
        <v>47</v>
      </c>
    </row>
    <row r="4294" spans="1:6" x14ac:dyDescent="0.25">
      <c r="A4294" s="8">
        <v>80141607</v>
      </c>
      <c r="B4294" s="9" t="str">
        <f ca="1">IFERROR(INDEX(UNSPSCDes,MATCH(INDIRECT(ADDRESS(ROW(),COLUMN()-1,4)),UNSPSCCode,0)),"")</f>
        <v>Gestión de eventos</v>
      </c>
      <c r="C4294" s="8" t="s">
        <v>55</v>
      </c>
      <c r="D4294" s="8">
        <v>1</v>
      </c>
      <c r="E4294" s="11">
        <v>1315000</v>
      </c>
      <c r="F4294" s="10">
        <f ca="1">INDIRECT(ADDRESS(ROW(),COLUMN()-2,4))*INDIRECT(ADDRESS(ROW(),COLUMN()-1,4))</f>
        <v>1315000</v>
      </c>
    </row>
    <row r="4295" spans="1:6" x14ac:dyDescent="0.25">
      <c r="A4295" s="40"/>
      <c r="B4295" s="40"/>
      <c r="C4295" s="40"/>
      <c r="D4295" s="40"/>
      <c r="E4295" s="13" t="s">
        <v>87</v>
      </c>
      <c r="F4295" s="14">
        <f ca="1">SUM(Table371133[MONTO TOTAL ESTIMADO])</f>
        <v>1315000</v>
      </c>
    </row>
    <row r="4296" spans="1:6" ht="15.75" thickBot="1" x14ac:dyDescent="0.3">
      <c r="A4296" s="42"/>
      <c r="B4296" s="42"/>
      <c r="C4296" s="42"/>
      <c r="D4296" s="42"/>
      <c r="E4296" s="42"/>
      <c r="F4296" s="42"/>
    </row>
    <row r="4297" spans="1:6" ht="23.25" thickBot="1" x14ac:dyDescent="0.3">
      <c r="A4297" s="4" t="s">
        <v>19</v>
      </c>
      <c r="B4297" s="4" t="s">
        <v>20</v>
      </c>
      <c r="C4297" s="4" t="s">
        <v>21</v>
      </c>
      <c r="D4297" s="4" t="s">
        <v>22</v>
      </c>
      <c r="E4297" s="4" t="s">
        <v>23</v>
      </c>
      <c r="F4297" s="4" t="s">
        <v>24</v>
      </c>
    </row>
    <row r="4298" spans="1:6" ht="15.75" thickBot="1" x14ac:dyDescent="0.3">
      <c r="A4298" s="32" t="s">
        <v>219</v>
      </c>
      <c r="B4298" s="32" t="s">
        <v>294</v>
      </c>
      <c r="C4298" s="32" t="s">
        <v>129</v>
      </c>
      <c r="D4298" s="6" t="s">
        <v>28</v>
      </c>
      <c r="E4298" s="32" t="s">
        <v>262</v>
      </c>
      <c r="F4298" s="6"/>
    </row>
    <row r="4299" spans="1:6" ht="15.75" thickBot="1" x14ac:dyDescent="0.3">
      <c r="A4299" s="35" t="s">
        <v>31</v>
      </c>
      <c r="B4299" s="7" t="s">
        <v>32</v>
      </c>
      <c r="C4299" s="15">
        <v>45474</v>
      </c>
      <c r="D4299" s="35" t="s">
        <v>33</v>
      </c>
      <c r="E4299" s="7" t="s">
        <v>34</v>
      </c>
      <c r="F4299" s="6"/>
    </row>
    <row r="4300" spans="1:6" ht="15.75" thickBot="1" x14ac:dyDescent="0.3">
      <c r="A4300" s="36"/>
      <c r="B4300" s="7" t="s">
        <v>36</v>
      </c>
      <c r="C4300" s="5">
        <f>IF(C4299="","",IF(AND(MONTH(C4299)&gt;=1,MONTH(C4299)&lt;=3),1,IF(AND(MONTH(C4299)&gt;=4,MONTH(C4299)&lt;=6),2,IF(AND(MONTH(C4299)&gt;=7,MONTH(C4299)&lt;=9),3,4))))</f>
        <v>3</v>
      </c>
      <c r="D4300" s="36"/>
      <c r="E4300" s="7" t="s">
        <v>37</v>
      </c>
      <c r="F4300" s="6"/>
    </row>
    <row r="4301" spans="1:6" ht="15.75" thickBot="1" x14ac:dyDescent="0.3">
      <c r="A4301" s="36"/>
      <c r="B4301" s="7" t="s">
        <v>39</v>
      </c>
      <c r="C4301" s="15">
        <v>45565</v>
      </c>
      <c r="D4301" s="36"/>
      <c r="E4301" s="7" t="s">
        <v>40</v>
      </c>
      <c r="F4301" s="6"/>
    </row>
    <row r="4302" spans="1:6" ht="15.75" thickBot="1" x14ac:dyDescent="0.3">
      <c r="A4302" s="36"/>
      <c r="B4302" s="7" t="s">
        <v>36</v>
      </c>
      <c r="C4302" s="5">
        <f>IF(C4301="","",IF(AND(MONTH(C4301)&gt;=1,MONTH(C4301)&lt;=3),1,IF(AND(MONTH(C4301)&gt;=4,MONTH(C4301)&lt;=6),2,IF(AND(MONTH(C4301)&gt;=7,MONTH(C4301)&lt;=9),3,4))))</f>
        <v>3</v>
      </c>
      <c r="D4302" s="36"/>
      <c r="E4302" s="7" t="s">
        <v>41</v>
      </c>
      <c r="F4302" s="6"/>
    </row>
    <row r="4303" spans="1:6" ht="15.75" thickBot="1" x14ac:dyDescent="0.3">
      <c r="A4303" s="40"/>
      <c r="B4303" s="40"/>
      <c r="C4303" s="40"/>
      <c r="D4303" s="40"/>
      <c r="E4303" s="40"/>
      <c r="F4303" s="40"/>
    </row>
    <row r="4304" spans="1:6" ht="15.75" thickBot="1" x14ac:dyDescent="0.3">
      <c r="A4304" s="12" t="s">
        <v>42</v>
      </c>
      <c r="B4304" s="12" t="s">
        <v>43</v>
      </c>
      <c r="C4304" s="12" t="s">
        <v>44</v>
      </c>
      <c r="D4304" s="12" t="s">
        <v>45</v>
      </c>
      <c r="E4304" s="12" t="s">
        <v>46</v>
      </c>
      <c r="F4304" s="12" t="s">
        <v>47</v>
      </c>
    </row>
    <row r="4305" spans="1:6" x14ac:dyDescent="0.25">
      <c r="A4305" s="8">
        <v>80141607</v>
      </c>
      <c r="B4305" s="9" t="str">
        <f ca="1">IFERROR(INDEX(UNSPSCDes,MATCH(INDIRECT(ADDRESS(ROW(),COLUMN()-1,4)),UNSPSCCode,0)),"")</f>
        <v>Gestión de eventos</v>
      </c>
      <c r="C4305" s="8" t="s">
        <v>55</v>
      </c>
      <c r="D4305" s="8">
        <v>1</v>
      </c>
      <c r="E4305" s="11">
        <v>1350000</v>
      </c>
      <c r="F4305" s="10">
        <f ca="1">INDIRECT(ADDRESS(ROW(),COLUMN()-2,4))*INDIRECT(ADDRESS(ROW(),COLUMN()-1,4))</f>
        <v>1350000</v>
      </c>
    </row>
    <row r="4306" spans="1:6" x14ac:dyDescent="0.25">
      <c r="A4306" s="40"/>
      <c r="B4306" s="40"/>
      <c r="C4306" s="40"/>
      <c r="D4306" s="40"/>
      <c r="E4306" s="13" t="s">
        <v>87</v>
      </c>
      <c r="F4306" s="14">
        <f ca="1">SUM(Table372134[MONTO TOTAL ESTIMADO])</f>
        <v>1350000</v>
      </c>
    </row>
    <row r="4307" spans="1:6" ht="15.75" thickBot="1" x14ac:dyDescent="0.3">
      <c r="A4307" s="42"/>
      <c r="B4307" s="42"/>
      <c r="C4307" s="42"/>
      <c r="D4307" s="42"/>
      <c r="E4307" s="42"/>
      <c r="F4307" s="42"/>
    </row>
    <row r="4308" spans="1:6" ht="23.25" thickBot="1" x14ac:dyDescent="0.3">
      <c r="A4308" s="4" t="s">
        <v>19</v>
      </c>
      <c r="B4308" s="4" t="s">
        <v>20</v>
      </c>
      <c r="C4308" s="4" t="s">
        <v>21</v>
      </c>
      <c r="D4308" s="4" t="s">
        <v>22</v>
      </c>
      <c r="E4308" s="4" t="s">
        <v>23</v>
      </c>
      <c r="F4308" s="4" t="s">
        <v>24</v>
      </c>
    </row>
    <row r="4309" spans="1:6" ht="15.75" thickBot="1" x14ac:dyDescent="0.3">
      <c r="A4309" s="32" t="s">
        <v>295</v>
      </c>
      <c r="B4309" s="32" t="s">
        <v>296</v>
      </c>
      <c r="C4309" s="32" t="s">
        <v>129</v>
      </c>
      <c r="D4309" s="6" t="s">
        <v>28</v>
      </c>
      <c r="E4309" s="32" t="s">
        <v>262</v>
      </c>
      <c r="F4309" s="6"/>
    </row>
    <row r="4310" spans="1:6" ht="15.75" thickBot="1" x14ac:dyDescent="0.3">
      <c r="A4310" s="35" t="s">
        <v>31</v>
      </c>
      <c r="B4310" s="7" t="s">
        <v>32</v>
      </c>
      <c r="C4310" s="15">
        <v>45474</v>
      </c>
      <c r="D4310" s="35" t="s">
        <v>33</v>
      </c>
      <c r="E4310" s="7" t="s">
        <v>34</v>
      </c>
      <c r="F4310" s="6"/>
    </row>
    <row r="4311" spans="1:6" ht="15.75" thickBot="1" x14ac:dyDescent="0.3">
      <c r="A4311" s="36"/>
      <c r="B4311" s="7" t="s">
        <v>36</v>
      </c>
      <c r="C4311" s="5">
        <f>IF(C4310="","",IF(AND(MONTH(C4310)&gt;=1,MONTH(C4310)&lt;=3),1,IF(AND(MONTH(C4310)&gt;=4,MONTH(C4310)&lt;=6),2,IF(AND(MONTH(C4310)&gt;=7,MONTH(C4310)&lt;=9),3,4))))</f>
        <v>3</v>
      </c>
      <c r="D4311" s="36"/>
      <c r="E4311" s="7" t="s">
        <v>37</v>
      </c>
      <c r="F4311" s="6"/>
    </row>
    <row r="4312" spans="1:6" ht="15.75" thickBot="1" x14ac:dyDescent="0.3">
      <c r="A4312" s="36"/>
      <c r="B4312" s="7" t="s">
        <v>39</v>
      </c>
      <c r="C4312" s="15">
        <v>45565</v>
      </c>
      <c r="D4312" s="36"/>
      <c r="E4312" s="7" t="s">
        <v>40</v>
      </c>
      <c r="F4312" s="6"/>
    </row>
    <row r="4313" spans="1:6" ht="15.75" thickBot="1" x14ac:dyDescent="0.3">
      <c r="A4313" s="36"/>
      <c r="B4313" s="7" t="s">
        <v>36</v>
      </c>
      <c r="C4313" s="5">
        <f>IF(C4312="","",IF(AND(MONTH(C4312)&gt;=1,MONTH(C4312)&lt;=3),1,IF(AND(MONTH(C4312)&gt;=4,MONTH(C4312)&lt;=6),2,IF(AND(MONTH(C4312)&gt;=7,MONTH(C4312)&lt;=9),3,4))))</f>
        <v>3</v>
      </c>
      <c r="D4313" s="36"/>
      <c r="E4313" s="7" t="s">
        <v>41</v>
      </c>
      <c r="F4313" s="6"/>
    </row>
    <row r="4314" spans="1:6" ht="15.75" thickBot="1" x14ac:dyDescent="0.3">
      <c r="A4314" s="40"/>
      <c r="B4314" s="40"/>
      <c r="C4314" s="40"/>
      <c r="D4314" s="40"/>
      <c r="E4314" s="40"/>
      <c r="F4314" s="40"/>
    </row>
    <row r="4315" spans="1:6" ht="15.75" thickBot="1" x14ac:dyDescent="0.3">
      <c r="A4315" s="12" t="s">
        <v>42</v>
      </c>
      <c r="B4315" s="12" t="s">
        <v>43</v>
      </c>
      <c r="C4315" s="12" t="s">
        <v>44</v>
      </c>
      <c r="D4315" s="12" t="s">
        <v>45</v>
      </c>
      <c r="E4315" s="12" t="s">
        <v>46</v>
      </c>
      <c r="F4315" s="12" t="s">
        <v>47</v>
      </c>
    </row>
    <row r="4316" spans="1:6" x14ac:dyDescent="0.25">
      <c r="A4316" s="8">
        <v>80141607</v>
      </c>
      <c r="B4316" s="9" t="str">
        <f ca="1">IFERROR(INDEX(UNSPSCDes,MATCH(INDIRECT(ADDRESS(ROW(),COLUMN()-1,4)),UNSPSCCode,0)),"")</f>
        <v>Gestión de eventos</v>
      </c>
      <c r="C4316" s="8" t="s">
        <v>55</v>
      </c>
      <c r="D4316" s="8">
        <v>1</v>
      </c>
      <c r="E4316" s="11">
        <v>1450000</v>
      </c>
      <c r="F4316" s="10">
        <f ca="1">INDIRECT(ADDRESS(ROW(),COLUMN()-2,4))*INDIRECT(ADDRESS(ROW(),COLUMN()-1,4))</f>
        <v>1450000</v>
      </c>
    </row>
    <row r="4317" spans="1:6" x14ac:dyDescent="0.25">
      <c r="A4317" s="40"/>
      <c r="B4317" s="40"/>
      <c r="C4317" s="40"/>
      <c r="D4317" s="40"/>
      <c r="E4317" s="13" t="s">
        <v>87</v>
      </c>
      <c r="F4317" s="14">
        <f ca="1">SUM(Table373135[MONTO TOTAL ESTIMADO])</f>
        <v>1450000</v>
      </c>
    </row>
    <row r="4318" spans="1:6" ht="15.75" thickBot="1" x14ac:dyDescent="0.3">
      <c r="A4318" s="42"/>
      <c r="B4318" s="42"/>
      <c r="C4318" s="42"/>
      <c r="D4318" s="42"/>
      <c r="E4318" s="42"/>
      <c r="F4318" s="42"/>
    </row>
    <row r="4319" spans="1:6" ht="23.25" thickBot="1" x14ac:dyDescent="0.3">
      <c r="A4319" s="4" t="s">
        <v>19</v>
      </c>
      <c r="B4319" s="4" t="s">
        <v>20</v>
      </c>
      <c r="C4319" s="4" t="s">
        <v>21</v>
      </c>
      <c r="D4319" s="4" t="s">
        <v>22</v>
      </c>
      <c r="E4319" s="4" t="s">
        <v>23</v>
      </c>
      <c r="F4319" s="4" t="s">
        <v>24</v>
      </c>
    </row>
    <row r="4320" spans="1:6" ht="15.75" thickBot="1" x14ac:dyDescent="0.3">
      <c r="A4320" s="32" t="s">
        <v>297</v>
      </c>
      <c r="B4320" s="32" t="s">
        <v>298</v>
      </c>
      <c r="C4320" s="32" t="s">
        <v>129</v>
      </c>
      <c r="D4320" s="6" t="s">
        <v>188</v>
      </c>
      <c r="E4320" s="32" t="s">
        <v>262</v>
      </c>
      <c r="F4320" s="6"/>
    </row>
    <row r="4321" spans="1:6" ht="15.75" thickBot="1" x14ac:dyDescent="0.3">
      <c r="A4321" s="35" t="s">
        <v>31</v>
      </c>
      <c r="B4321" s="7" t="s">
        <v>32</v>
      </c>
      <c r="C4321" s="15">
        <v>45474</v>
      </c>
      <c r="D4321" s="35" t="s">
        <v>33</v>
      </c>
      <c r="E4321" s="7" t="s">
        <v>34</v>
      </c>
      <c r="F4321" s="6"/>
    </row>
    <row r="4322" spans="1:6" ht="15.75" thickBot="1" x14ac:dyDescent="0.3">
      <c r="A4322" s="36"/>
      <c r="B4322" s="7" t="s">
        <v>36</v>
      </c>
      <c r="C4322" s="5">
        <f>IF(C4321="","",IF(AND(MONTH(C4321)&gt;=1,MONTH(C4321)&lt;=3),1,IF(AND(MONTH(C4321)&gt;=4,MONTH(C4321)&lt;=6),2,IF(AND(MONTH(C4321)&gt;=7,MONTH(C4321)&lt;=9),3,4))))</f>
        <v>3</v>
      </c>
      <c r="D4322" s="36"/>
      <c r="E4322" s="7" t="s">
        <v>37</v>
      </c>
      <c r="F4322" s="6"/>
    </row>
    <row r="4323" spans="1:6" ht="15.75" thickBot="1" x14ac:dyDescent="0.3">
      <c r="A4323" s="36"/>
      <c r="B4323" s="7" t="s">
        <v>39</v>
      </c>
      <c r="C4323" s="15">
        <v>45565</v>
      </c>
      <c r="D4323" s="36"/>
      <c r="E4323" s="7" t="s">
        <v>40</v>
      </c>
      <c r="F4323" s="6"/>
    </row>
    <row r="4324" spans="1:6" ht="15.75" thickBot="1" x14ac:dyDescent="0.3">
      <c r="A4324" s="36"/>
      <c r="B4324" s="7" t="s">
        <v>36</v>
      </c>
      <c r="C4324" s="5">
        <f>IF(C4323="","",IF(AND(MONTH(C4323)&gt;=1,MONTH(C4323)&lt;=3),1,IF(AND(MONTH(C4323)&gt;=4,MONTH(C4323)&lt;=6),2,IF(AND(MONTH(C4323)&gt;=7,MONTH(C4323)&lt;=9),3,4))))</f>
        <v>3</v>
      </c>
      <c r="D4324" s="36"/>
      <c r="E4324" s="7" t="s">
        <v>41</v>
      </c>
      <c r="F4324" s="6"/>
    </row>
    <row r="4325" spans="1:6" ht="15.75" thickBot="1" x14ac:dyDescent="0.3">
      <c r="A4325" s="40"/>
      <c r="B4325" s="40"/>
      <c r="C4325" s="40"/>
      <c r="D4325" s="40"/>
      <c r="E4325" s="40"/>
      <c r="F4325" s="40"/>
    </row>
    <row r="4326" spans="1:6" ht="15.75" thickBot="1" x14ac:dyDescent="0.3">
      <c r="A4326" s="12" t="s">
        <v>42</v>
      </c>
      <c r="B4326" s="12" t="s">
        <v>43</v>
      </c>
      <c r="C4326" s="12" t="s">
        <v>44</v>
      </c>
      <c r="D4326" s="12" t="s">
        <v>45</v>
      </c>
      <c r="E4326" s="12" t="s">
        <v>46</v>
      </c>
      <c r="F4326" s="12" t="s">
        <v>47</v>
      </c>
    </row>
    <row r="4327" spans="1:6" x14ac:dyDescent="0.25">
      <c r="A4327" s="8">
        <v>72101601</v>
      </c>
      <c r="B4327" s="9" t="str">
        <f ca="1">IFERROR(INDEX(UNSPSCDes,MATCH(INDIRECT(ADDRESS(ROW(),COLUMN()-1,4)),UNSPSCCode,0)),"")</f>
        <v>Instalación o reparación de techos</v>
      </c>
      <c r="C4327" s="8" t="s">
        <v>55</v>
      </c>
      <c r="D4327" s="8">
        <v>1</v>
      </c>
      <c r="E4327" s="11">
        <v>198000</v>
      </c>
      <c r="F4327" s="10">
        <f ca="1">INDIRECT(ADDRESS(ROW(),COLUMN()-2,4))*INDIRECT(ADDRESS(ROW(),COLUMN()-1,4))</f>
        <v>198000</v>
      </c>
    </row>
    <row r="4328" spans="1:6" x14ac:dyDescent="0.25">
      <c r="A4328" s="40"/>
      <c r="B4328" s="40"/>
      <c r="C4328" s="40"/>
      <c r="D4328" s="40"/>
      <c r="E4328" s="13" t="s">
        <v>87</v>
      </c>
      <c r="F4328" s="14">
        <f ca="1">SUM(Table374136[MONTO TOTAL ESTIMADO])</f>
        <v>198000</v>
      </c>
    </row>
    <row r="4329" spans="1:6" ht="15.75" thickBot="1" x14ac:dyDescent="0.3">
      <c r="A4329" s="42"/>
      <c r="B4329" s="42"/>
      <c r="C4329" s="42"/>
      <c r="D4329" s="42"/>
      <c r="E4329" s="42"/>
      <c r="F4329" s="42"/>
    </row>
    <row r="4330" spans="1:6" ht="23.25" thickBot="1" x14ac:dyDescent="0.3">
      <c r="A4330" s="4" t="s">
        <v>19</v>
      </c>
      <c r="B4330" s="4" t="s">
        <v>20</v>
      </c>
      <c r="C4330" s="4" t="s">
        <v>21</v>
      </c>
      <c r="D4330" s="4" t="s">
        <v>22</v>
      </c>
      <c r="E4330" s="4" t="s">
        <v>23</v>
      </c>
      <c r="F4330" s="4" t="s">
        <v>24</v>
      </c>
    </row>
    <row r="4331" spans="1:6" ht="15.75" thickBot="1" x14ac:dyDescent="0.3">
      <c r="A4331" s="32" t="s">
        <v>300</v>
      </c>
      <c r="B4331" s="32" t="s">
        <v>301</v>
      </c>
      <c r="C4331" s="32" t="s">
        <v>129</v>
      </c>
      <c r="D4331" s="6" t="s">
        <v>188</v>
      </c>
      <c r="E4331" s="32" t="s">
        <v>262</v>
      </c>
      <c r="F4331" s="6"/>
    </row>
    <row r="4332" spans="1:6" ht="15.75" thickBot="1" x14ac:dyDescent="0.3">
      <c r="A4332" s="35" t="s">
        <v>31</v>
      </c>
      <c r="B4332" s="7" t="s">
        <v>32</v>
      </c>
      <c r="C4332" s="15">
        <v>45474</v>
      </c>
      <c r="D4332" s="35" t="s">
        <v>33</v>
      </c>
      <c r="E4332" s="7" t="s">
        <v>34</v>
      </c>
      <c r="F4332" s="6"/>
    </row>
    <row r="4333" spans="1:6" ht="15.75" thickBot="1" x14ac:dyDescent="0.3">
      <c r="A4333" s="36"/>
      <c r="B4333" s="7" t="s">
        <v>36</v>
      </c>
      <c r="C4333" s="5">
        <f>IF(C4332="","",IF(AND(MONTH(C4332)&gt;=1,MONTH(C4332)&lt;=3),1,IF(AND(MONTH(C4332)&gt;=4,MONTH(C4332)&lt;=6),2,IF(AND(MONTH(C4332)&gt;=7,MONTH(C4332)&lt;=9),3,4))))</f>
        <v>3</v>
      </c>
      <c r="D4333" s="36"/>
      <c r="E4333" s="7" t="s">
        <v>37</v>
      </c>
      <c r="F4333" s="6"/>
    </row>
    <row r="4334" spans="1:6" ht="15.75" thickBot="1" x14ac:dyDescent="0.3">
      <c r="A4334" s="36"/>
      <c r="B4334" s="7" t="s">
        <v>39</v>
      </c>
      <c r="C4334" s="15">
        <v>45565</v>
      </c>
      <c r="D4334" s="36"/>
      <c r="E4334" s="7" t="s">
        <v>40</v>
      </c>
      <c r="F4334" s="6"/>
    </row>
    <row r="4335" spans="1:6" ht="15.75" thickBot="1" x14ac:dyDescent="0.3">
      <c r="A4335" s="36"/>
      <c r="B4335" s="7" t="s">
        <v>36</v>
      </c>
      <c r="C4335" s="5">
        <f>IF(C4334="","",IF(AND(MONTH(C4334)&gt;=1,MONTH(C4334)&lt;=3),1,IF(AND(MONTH(C4334)&gt;=4,MONTH(C4334)&lt;=6),2,IF(AND(MONTH(C4334)&gt;=7,MONTH(C4334)&lt;=9),3,4))))</f>
        <v>3</v>
      </c>
      <c r="D4335" s="36"/>
      <c r="E4335" s="7" t="s">
        <v>41</v>
      </c>
      <c r="F4335" s="6"/>
    </row>
    <row r="4336" spans="1:6" ht="15.75" thickBot="1" x14ac:dyDescent="0.3">
      <c r="A4336" s="40"/>
      <c r="B4336" s="40"/>
      <c r="C4336" s="40"/>
      <c r="D4336" s="40"/>
      <c r="E4336" s="40"/>
      <c r="F4336" s="40"/>
    </row>
    <row r="4337" spans="1:6" ht="15.75" thickBot="1" x14ac:dyDescent="0.3">
      <c r="A4337" s="12" t="s">
        <v>42</v>
      </c>
      <c r="B4337" s="12" t="s">
        <v>43</v>
      </c>
      <c r="C4337" s="12" t="s">
        <v>44</v>
      </c>
      <c r="D4337" s="12" t="s">
        <v>45</v>
      </c>
      <c r="E4337" s="12" t="s">
        <v>46</v>
      </c>
      <c r="F4337" s="12" t="s">
        <v>47</v>
      </c>
    </row>
    <row r="4338" spans="1:6" x14ac:dyDescent="0.25">
      <c r="A4338" s="8">
        <v>90101802</v>
      </c>
      <c r="B4338" s="9" t="str">
        <f ca="1">IFERROR(INDEX(UNSPSCDes,MATCH(INDIRECT(ADDRESS(ROW(),COLUMN()-1,4)),UNSPSCCode,0)),"")</f>
        <v>Servicios de comidas a domicilio</v>
      </c>
      <c r="C4338" s="8" t="s">
        <v>55</v>
      </c>
      <c r="D4338" s="8">
        <v>125</v>
      </c>
      <c r="E4338" s="11">
        <v>550</v>
      </c>
      <c r="F4338" s="10">
        <f ca="1">INDIRECT(ADDRESS(ROW(),COLUMN()-2,4))*INDIRECT(ADDRESS(ROW(),COLUMN()-1,4))</f>
        <v>68750</v>
      </c>
    </row>
    <row r="4339" spans="1:6" x14ac:dyDescent="0.25">
      <c r="A4339" s="8">
        <v>90101802</v>
      </c>
      <c r="B4339" s="9" t="str">
        <f ca="1">IFERROR(INDEX(UNSPSCDes,MATCH(INDIRECT(ADDRESS(ROW(),COLUMN()-1,4)),UNSPSCCode,0)),"")</f>
        <v>Servicios de comidas a domicilio</v>
      </c>
      <c r="C4339" s="33" t="s">
        <v>55</v>
      </c>
      <c r="D4339" s="8">
        <v>125</v>
      </c>
      <c r="E4339" s="11">
        <v>650</v>
      </c>
      <c r="F4339" s="10">
        <f ca="1">INDIRECT(ADDRESS(ROW(),COLUMN()-2,4))*INDIRECT(ADDRESS(ROW(),COLUMN()-1,4))</f>
        <v>81250</v>
      </c>
    </row>
    <row r="4340" spans="1:6" x14ac:dyDescent="0.25">
      <c r="A4340" s="40"/>
      <c r="B4340" s="40"/>
      <c r="C4340" s="40"/>
      <c r="D4340" s="40"/>
      <c r="E4340" s="13" t="s">
        <v>87</v>
      </c>
      <c r="F4340" s="14">
        <f ca="1">SUM(Table375137[MONTO TOTAL ESTIMADO])</f>
        <v>150000</v>
      </c>
    </row>
    <row r="4341" spans="1:6" ht="15.75" thickBot="1" x14ac:dyDescent="0.3">
      <c r="A4341" s="42"/>
      <c r="B4341" s="42"/>
      <c r="C4341" s="42"/>
      <c r="D4341" s="42"/>
      <c r="E4341" s="42"/>
      <c r="F4341" s="42"/>
    </row>
    <row r="4342" spans="1:6" ht="23.25" thickBot="1" x14ac:dyDescent="0.3">
      <c r="A4342" s="4" t="s">
        <v>19</v>
      </c>
      <c r="B4342" s="4" t="s">
        <v>20</v>
      </c>
      <c r="C4342" s="4" t="s">
        <v>21</v>
      </c>
      <c r="D4342" s="4" t="s">
        <v>22</v>
      </c>
      <c r="E4342" s="4" t="s">
        <v>23</v>
      </c>
      <c r="F4342" s="4" t="s">
        <v>24</v>
      </c>
    </row>
    <row r="4343" spans="1:6" ht="15.75" thickBot="1" x14ac:dyDescent="0.3">
      <c r="A4343" s="32" t="s">
        <v>302</v>
      </c>
      <c r="B4343" s="32" t="s">
        <v>303</v>
      </c>
      <c r="C4343" s="32" t="s">
        <v>27</v>
      </c>
      <c r="D4343" s="6" t="s">
        <v>188</v>
      </c>
      <c r="E4343" s="32" t="s">
        <v>262</v>
      </c>
      <c r="F4343" s="6"/>
    </row>
    <row r="4344" spans="1:6" ht="15.75" thickBot="1" x14ac:dyDescent="0.3">
      <c r="A4344" s="35" t="s">
        <v>31</v>
      </c>
      <c r="B4344" s="7" t="s">
        <v>32</v>
      </c>
      <c r="C4344" s="15">
        <v>45474</v>
      </c>
      <c r="D4344" s="35" t="s">
        <v>33</v>
      </c>
      <c r="E4344" s="7" t="s">
        <v>34</v>
      </c>
      <c r="F4344" s="6"/>
    </row>
    <row r="4345" spans="1:6" ht="15.75" thickBot="1" x14ac:dyDescent="0.3">
      <c r="A4345" s="36"/>
      <c r="B4345" s="7" t="s">
        <v>36</v>
      </c>
      <c r="C4345" s="5">
        <f>IF(C4344="","",IF(AND(MONTH(C4344)&gt;=1,MONTH(C4344)&lt;=3),1,IF(AND(MONTH(C4344)&gt;=4,MONTH(C4344)&lt;=6),2,IF(AND(MONTH(C4344)&gt;=7,MONTH(C4344)&lt;=9),3,4))))</f>
        <v>3</v>
      </c>
      <c r="D4345" s="36"/>
      <c r="E4345" s="7" t="s">
        <v>37</v>
      </c>
      <c r="F4345" s="6"/>
    </row>
    <row r="4346" spans="1:6" ht="15.75" thickBot="1" x14ac:dyDescent="0.3">
      <c r="A4346" s="36"/>
      <c r="B4346" s="7" t="s">
        <v>39</v>
      </c>
      <c r="C4346" s="15">
        <v>45565</v>
      </c>
      <c r="D4346" s="36"/>
      <c r="E4346" s="7" t="s">
        <v>40</v>
      </c>
      <c r="F4346" s="6"/>
    </row>
    <row r="4347" spans="1:6" ht="15.75" thickBot="1" x14ac:dyDescent="0.3">
      <c r="A4347" s="36"/>
      <c r="B4347" s="7" t="s">
        <v>36</v>
      </c>
      <c r="C4347" s="5">
        <f>IF(C4346="","",IF(AND(MONTH(C4346)&gt;=1,MONTH(C4346)&lt;=3),1,IF(AND(MONTH(C4346)&gt;=4,MONTH(C4346)&lt;=6),2,IF(AND(MONTH(C4346)&gt;=7,MONTH(C4346)&lt;=9),3,4))))</f>
        <v>3</v>
      </c>
      <c r="D4347" s="36"/>
      <c r="E4347" s="7" t="s">
        <v>41</v>
      </c>
      <c r="F4347" s="6"/>
    </row>
    <row r="4348" spans="1:6" ht="15.75" thickBot="1" x14ac:dyDescent="0.3">
      <c r="A4348" s="40"/>
      <c r="B4348" s="40"/>
      <c r="C4348" s="40"/>
      <c r="D4348" s="40"/>
      <c r="E4348" s="40"/>
      <c r="F4348" s="40"/>
    </row>
    <row r="4349" spans="1:6" ht="15.75" thickBot="1" x14ac:dyDescent="0.3">
      <c r="A4349" s="12" t="s">
        <v>42</v>
      </c>
      <c r="B4349" s="12" t="s">
        <v>43</v>
      </c>
      <c r="C4349" s="12" t="s">
        <v>44</v>
      </c>
      <c r="D4349" s="12" t="s">
        <v>45</v>
      </c>
      <c r="E4349" s="12" t="s">
        <v>46</v>
      </c>
      <c r="F4349" s="12" t="s">
        <v>47</v>
      </c>
    </row>
    <row r="4350" spans="1:6" x14ac:dyDescent="0.25">
      <c r="A4350" s="41">
        <v>44122011</v>
      </c>
      <c r="B4350" s="9" t="str">
        <f ca="1">IFERROR(INDEX(UNSPSCDes,MATCH(INDIRECT(ADDRESS(ROW(),COLUMN()-1,4)),UNSPSCCode,0)),"")</f>
        <v>Folders</v>
      </c>
      <c r="C4350" s="8" t="s">
        <v>49</v>
      </c>
      <c r="D4350" s="8">
        <v>500</v>
      </c>
      <c r="E4350" s="11">
        <v>228.81</v>
      </c>
      <c r="F4350" s="10">
        <f ca="1">INDIRECT(ADDRESS(ROW(),COLUMN()-2,4))*INDIRECT(ADDRESS(ROW(),COLUMN()-1,4))</f>
        <v>114405</v>
      </c>
    </row>
    <row r="4351" spans="1:6" x14ac:dyDescent="0.25">
      <c r="A4351" s="40"/>
      <c r="B4351" s="40"/>
      <c r="C4351" s="40"/>
      <c r="D4351" s="40"/>
      <c r="E4351" s="13" t="s">
        <v>87</v>
      </c>
      <c r="F4351" s="14">
        <f ca="1">SUM(Table376138[MONTO TOTAL ESTIMADO])</f>
        <v>114405</v>
      </c>
    </row>
    <row r="4352" spans="1:6" ht="15.75" thickBot="1" x14ac:dyDescent="0.3">
      <c r="A4352" s="42"/>
      <c r="B4352" s="42"/>
      <c r="C4352" s="42"/>
      <c r="D4352" s="42"/>
      <c r="E4352" s="42"/>
      <c r="F4352" s="42"/>
    </row>
    <row r="4353" spans="1:6" ht="23.25" thickBot="1" x14ac:dyDescent="0.3">
      <c r="A4353" s="4" t="s">
        <v>19</v>
      </c>
      <c r="B4353" s="4" t="s">
        <v>20</v>
      </c>
      <c r="C4353" s="4" t="s">
        <v>21</v>
      </c>
      <c r="D4353" s="4" t="s">
        <v>22</v>
      </c>
      <c r="E4353" s="4" t="s">
        <v>23</v>
      </c>
      <c r="F4353" s="4" t="s">
        <v>24</v>
      </c>
    </row>
    <row r="4354" spans="1:6" ht="15.75" thickBot="1" x14ac:dyDescent="0.3">
      <c r="A4354" s="32" t="s">
        <v>304</v>
      </c>
      <c r="B4354" s="32" t="s">
        <v>305</v>
      </c>
      <c r="C4354" s="32" t="s">
        <v>27</v>
      </c>
      <c r="D4354" s="6" t="s">
        <v>188</v>
      </c>
      <c r="E4354" s="32" t="s">
        <v>262</v>
      </c>
      <c r="F4354" s="6"/>
    </row>
    <row r="4355" spans="1:6" ht="15.75" thickBot="1" x14ac:dyDescent="0.3">
      <c r="A4355" s="35" t="s">
        <v>31</v>
      </c>
      <c r="B4355" s="7" t="s">
        <v>32</v>
      </c>
      <c r="C4355" s="15">
        <v>45474</v>
      </c>
      <c r="D4355" s="35" t="s">
        <v>33</v>
      </c>
      <c r="E4355" s="7" t="s">
        <v>34</v>
      </c>
      <c r="F4355" s="6"/>
    </row>
    <row r="4356" spans="1:6" ht="15.75" thickBot="1" x14ac:dyDescent="0.3">
      <c r="A4356" s="36"/>
      <c r="B4356" s="7" t="s">
        <v>36</v>
      </c>
      <c r="C4356" s="5">
        <f>IF(C4355="","",IF(AND(MONTH(C4355)&gt;=1,MONTH(C4355)&lt;=3),1,IF(AND(MONTH(C4355)&gt;=4,MONTH(C4355)&lt;=6),2,IF(AND(MONTH(C4355)&gt;=7,MONTH(C4355)&lt;=9),3,4))))</f>
        <v>3</v>
      </c>
      <c r="D4356" s="36"/>
      <c r="E4356" s="7" t="s">
        <v>37</v>
      </c>
      <c r="F4356" s="6"/>
    </row>
    <row r="4357" spans="1:6" ht="15.75" thickBot="1" x14ac:dyDescent="0.3">
      <c r="A4357" s="36"/>
      <c r="B4357" s="7" t="s">
        <v>39</v>
      </c>
      <c r="C4357" s="15">
        <v>45565</v>
      </c>
      <c r="D4357" s="36"/>
      <c r="E4357" s="7" t="s">
        <v>40</v>
      </c>
      <c r="F4357" s="6"/>
    </row>
    <row r="4358" spans="1:6" ht="15.75" thickBot="1" x14ac:dyDescent="0.3">
      <c r="A4358" s="36"/>
      <c r="B4358" s="7" t="s">
        <v>36</v>
      </c>
      <c r="C4358" s="5">
        <f>IF(C4357="","",IF(AND(MONTH(C4357)&gt;=1,MONTH(C4357)&lt;=3),1,IF(AND(MONTH(C4357)&gt;=4,MONTH(C4357)&lt;=6),2,IF(AND(MONTH(C4357)&gt;=7,MONTH(C4357)&lt;=9),3,4))))</f>
        <v>3</v>
      </c>
      <c r="D4358" s="36"/>
      <c r="E4358" s="7" t="s">
        <v>41</v>
      </c>
      <c r="F4358" s="6"/>
    </row>
    <row r="4359" spans="1:6" ht="15.75" thickBot="1" x14ac:dyDescent="0.3">
      <c r="A4359" s="40"/>
      <c r="B4359" s="40"/>
      <c r="C4359" s="40"/>
      <c r="D4359" s="40"/>
      <c r="E4359" s="40"/>
      <c r="F4359" s="40"/>
    </row>
    <row r="4360" spans="1:6" ht="15.75" thickBot="1" x14ac:dyDescent="0.3">
      <c r="A4360" s="12" t="s">
        <v>42</v>
      </c>
      <c r="B4360" s="12" t="s">
        <v>43</v>
      </c>
      <c r="C4360" s="12" t="s">
        <v>44</v>
      </c>
      <c r="D4360" s="12" t="s">
        <v>45</v>
      </c>
      <c r="E4360" s="12" t="s">
        <v>46</v>
      </c>
      <c r="F4360" s="12" t="s">
        <v>47</v>
      </c>
    </row>
    <row r="4361" spans="1:6" x14ac:dyDescent="0.25">
      <c r="A4361" s="8">
        <v>52131501</v>
      </c>
      <c r="B4361" s="9" t="str">
        <f ca="1">IFERROR(INDEX(UNSPSCDes,MATCH(INDIRECT(ADDRESS(ROW(),COLUMN()-1,4)),UNSPSCCode,0)),"")</f>
        <v>Cortinas</v>
      </c>
      <c r="C4361" s="8" t="s">
        <v>55</v>
      </c>
      <c r="D4361" s="8">
        <v>1</v>
      </c>
      <c r="E4361" s="11">
        <v>16800</v>
      </c>
      <c r="F4361" s="10">
        <f ca="1">INDIRECT(ADDRESS(ROW(),COLUMN()-2,4))*INDIRECT(ADDRESS(ROW(),COLUMN()-1,4))</f>
        <v>16800</v>
      </c>
    </row>
    <row r="4362" spans="1:6" x14ac:dyDescent="0.25">
      <c r="A4362" s="40"/>
      <c r="B4362" s="40"/>
      <c r="C4362" s="40"/>
      <c r="D4362" s="40"/>
      <c r="E4362" s="13" t="s">
        <v>87</v>
      </c>
      <c r="F4362" s="14">
        <f ca="1">SUM(Table377139[MONTO TOTAL ESTIMADO])</f>
        <v>16800</v>
      </c>
    </row>
    <row r="4363" spans="1:6" ht="15.75" thickBot="1" x14ac:dyDescent="0.3">
      <c r="A4363" s="42"/>
      <c r="B4363" s="42"/>
      <c r="C4363" s="42"/>
      <c r="D4363" s="42"/>
      <c r="E4363" s="42"/>
      <c r="F4363" s="42"/>
    </row>
    <row r="4364" spans="1:6" ht="23.25" thickBot="1" x14ac:dyDescent="0.3">
      <c r="A4364" s="4" t="s">
        <v>19</v>
      </c>
      <c r="B4364" s="4" t="s">
        <v>20</v>
      </c>
      <c r="C4364" s="4" t="s">
        <v>21</v>
      </c>
      <c r="D4364" s="4" t="s">
        <v>22</v>
      </c>
      <c r="E4364" s="4" t="s">
        <v>23</v>
      </c>
      <c r="F4364" s="4" t="s">
        <v>24</v>
      </c>
    </row>
    <row r="4365" spans="1:6" ht="15.75" thickBot="1" x14ac:dyDescent="0.3">
      <c r="A4365" s="32" t="s">
        <v>307</v>
      </c>
      <c r="B4365" s="32" t="s">
        <v>308</v>
      </c>
      <c r="C4365" s="32" t="s">
        <v>27</v>
      </c>
      <c r="D4365" s="6" t="s">
        <v>28</v>
      </c>
      <c r="E4365" s="32" t="s">
        <v>262</v>
      </c>
      <c r="F4365" s="6"/>
    </row>
    <row r="4366" spans="1:6" ht="15.75" thickBot="1" x14ac:dyDescent="0.3">
      <c r="A4366" s="35" t="s">
        <v>31</v>
      </c>
      <c r="B4366" s="7" t="s">
        <v>32</v>
      </c>
      <c r="C4366" s="15">
        <v>45474</v>
      </c>
      <c r="D4366" s="35" t="s">
        <v>33</v>
      </c>
      <c r="E4366" s="7" t="s">
        <v>34</v>
      </c>
      <c r="F4366" s="6"/>
    </row>
    <row r="4367" spans="1:6" ht="15.75" thickBot="1" x14ac:dyDescent="0.3">
      <c r="A4367" s="36"/>
      <c r="B4367" s="7" t="s">
        <v>36</v>
      </c>
      <c r="C4367" s="5">
        <f>IF(C4366="","",IF(AND(MONTH(C4366)&gt;=1,MONTH(C4366)&lt;=3),1,IF(AND(MONTH(C4366)&gt;=4,MONTH(C4366)&lt;=6),2,IF(AND(MONTH(C4366)&gt;=7,MONTH(C4366)&lt;=9),3,4))))</f>
        <v>3</v>
      </c>
      <c r="D4367" s="36"/>
      <c r="E4367" s="7" t="s">
        <v>37</v>
      </c>
      <c r="F4367" s="6"/>
    </row>
    <row r="4368" spans="1:6" ht="15.75" thickBot="1" x14ac:dyDescent="0.3">
      <c r="A4368" s="36"/>
      <c r="B4368" s="7" t="s">
        <v>39</v>
      </c>
      <c r="C4368" s="15">
        <v>45565</v>
      </c>
      <c r="D4368" s="36"/>
      <c r="E4368" s="7" t="s">
        <v>40</v>
      </c>
      <c r="F4368" s="6"/>
    </row>
    <row r="4369" spans="1:6" ht="15.75" thickBot="1" x14ac:dyDescent="0.3">
      <c r="A4369" s="36"/>
      <c r="B4369" s="7" t="s">
        <v>36</v>
      </c>
      <c r="C4369" s="5">
        <f>IF(C4368="","",IF(AND(MONTH(C4368)&gt;=1,MONTH(C4368)&lt;=3),1,IF(AND(MONTH(C4368)&gt;=4,MONTH(C4368)&lt;=6),2,IF(AND(MONTH(C4368)&gt;=7,MONTH(C4368)&lt;=9),3,4))))</f>
        <v>3</v>
      </c>
      <c r="D4369" s="36"/>
      <c r="E4369" s="7" t="s">
        <v>41</v>
      </c>
      <c r="F4369" s="6"/>
    </row>
    <row r="4370" spans="1:6" ht="15.75" thickBot="1" x14ac:dyDescent="0.3">
      <c r="A4370" s="40"/>
      <c r="B4370" s="40"/>
      <c r="C4370" s="40"/>
      <c r="D4370" s="40"/>
      <c r="E4370" s="40"/>
      <c r="F4370" s="40"/>
    </row>
    <row r="4371" spans="1:6" ht="15.75" thickBot="1" x14ac:dyDescent="0.3">
      <c r="A4371" s="12" t="s">
        <v>42</v>
      </c>
      <c r="B4371" s="12" t="s">
        <v>43</v>
      </c>
      <c r="C4371" s="12" t="s">
        <v>44</v>
      </c>
      <c r="D4371" s="12" t="s">
        <v>45</v>
      </c>
      <c r="E4371" s="12" t="s">
        <v>46</v>
      </c>
      <c r="F4371" s="12" t="s">
        <v>47</v>
      </c>
    </row>
    <row r="4372" spans="1:6" x14ac:dyDescent="0.25">
      <c r="A4372" s="8">
        <v>52151504</v>
      </c>
      <c r="B4372" s="9" t="str">
        <f t="shared" ref="B4372:B4379" ca="1" si="64">IFERROR(INDEX(UNSPSCDes,MATCH(INDIRECT(ADDRESS(ROW(),COLUMN()-1,4)),UNSPSCCode,0)),"")</f>
        <v>Tazas o vasos o tapas desechables para uso doméstico</v>
      </c>
      <c r="C4372" s="8" t="s">
        <v>74</v>
      </c>
      <c r="D4372" s="8">
        <v>200</v>
      </c>
      <c r="E4372" s="11">
        <v>177.97</v>
      </c>
      <c r="F4372" s="10">
        <f t="shared" ref="F4372:F4379" ca="1" si="65">INDIRECT(ADDRESS(ROW(),COLUMN()-2,4))*INDIRECT(ADDRESS(ROW(),COLUMN()-1,4))</f>
        <v>35594</v>
      </c>
    </row>
    <row r="4373" spans="1:6" x14ac:dyDescent="0.25">
      <c r="A4373" s="8">
        <v>52151504</v>
      </c>
      <c r="B4373" s="9" t="str">
        <f t="shared" ca="1" si="64"/>
        <v>Tazas o vasos o tapas desechables para uso doméstico</v>
      </c>
      <c r="C4373" s="33" t="s">
        <v>74</v>
      </c>
      <c r="D4373" s="8">
        <v>1300</v>
      </c>
      <c r="E4373" s="11">
        <v>122.03</v>
      </c>
      <c r="F4373" s="10">
        <f t="shared" ca="1" si="65"/>
        <v>158639</v>
      </c>
    </row>
    <row r="4374" spans="1:6" x14ac:dyDescent="0.25">
      <c r="A4374" s="8">
        <v>52151504</v>
      </c>
      <c r="B4374" s="9" t="str">
        <f t="shared" ca="1" si="64"/>
        <v>Tazas o vasos o tapas desechables para uso doméstico</v>
      </c>
      <c r="C4374" s="33" t="s">
        <v>74</v>
      </c>
      <c r="D4374" s="8">
        <v>1200</v>
      </c>
      <c r="E4374" s="11">
        <v>142.37</v>
      </c>
      <c r="F4374" s="10">
        <f t="shared" ca="1" si="65"/>
        <v>170844</v>
      </c>
    </row>
    <row r="4375" spans="1:6" x14ac:dyDescent="0.25">
      <c r="A4375" s="8">
        <v>52151504</v>
      </c>
      <c r="B4375" s="9" t="str">
        <f t="shared" ca="1" si="64"/>
        <v>Tazas o vasos o tapas desechables para uso doméstico</v>
      </c>
      <c r="C4375" s="33" t="s">
        <v>74</v>
      </c>
      <c r="D4375" s="8">
        <v>100</v>
      </c>
      <c r="E4375" s="11">
        <v>162.71</v>
      </c>
      <c r="F4375" s="10">
        <f t="shared" ca="1" si="65"/>
        <v>16271</v>
      </c>
    </row>
    <row r="4376" spans="1:6" x14ac:dyDescent="0.25">
      <c r="A4376" s="8">
        <v>52151502</v>
      </c>
      <c r="B4376" s="9" t="str">
        <f t="shared" ca="1" si="64"/>
        <v>Platos desechables para uso doméstico</v>
      </c>
      <c r="C4376" s="33" t="s">
        <v>74</v>
      </c>
      <c r="D4376" s="8">
        <v>400</v>
      </c>
      <c r="E4376" s="11">
        <v>86.44</v>
      </c>
      <c r="F4376" s="10">
        <f t="shared" ca="1" si="65"/>
        <v>34576</v>
      </c>
    </row>
    <row r="4377" spans="1:6" x14ac:dyDescent="0.25">
      <c r="A4377" s="8">
        <v>52151502</v>
      </c>
      <c r="B4377" s="9" t="str">
        <f t="shared" ca="1" si="64"/>
        <v>Platos desechables para uso doméstico</v>
      </c>
      <c r="C4377" s="33" t="s">
        <v>74</v>
      </c>
      <c r="D4377" s="8">
        <v>800</v>
      </c>
      <c r="E4377" s="11">
        <v>122.03</v>
      </c>
      <c r="F4377" s="10">
        <f t="shared" ca="1" si="65"/>
        <v>97624</v>
      </c>
    </row>
    <row r="4378" spans="1:6" x14ac:dyDescent="0.25">
      <c r="A4378" s="8">
        <v>52151503</v>
      </c>
      <c r="B4378" s="9" t="str">
        <f t="shared" ca="1" si="64"/>
        <v>Cubiertos desechables para uso doméstico</v>
      </c>
      <c r="C4378" s="33" t="s">
        <v>74</v>
      </c>
      <c r="D4378" s="8">
        <v>1500</v>
      </c>
      <c r="E4378" s="11">
        <v>76.27</v>
      </c>
      <c r="F4378" s="10">
        <f t="shared" ca="1" si="65"/>
        <v>114405</v>
      </c>
    </row>
    <row r="4379" spans="1:6" x14ac:dyDescent="0.25">
      <c r="A4379" s="8">
        <v>52151503</v>
      </c>
      <c r="B4379" s="9" t="str">
        <f t="shared" ca="1" si="64"/>
        <v>Cubiertos desechables para uso doméstico</v>
      </c>
      <c r="C4379" s="33" t="s">
        <v>74</v>
      </c>
      <c r="D4379" s="8">
        <v>1500</v>
      </c>
      <c r="E4379" s="11">
        <v>76.27</v>
      </c>
      <c r="F4379" s="10">
        <f t="shared" ca="1" si="65"/>
        <v>114405</v>
      </c>
    </row>
    <row r="4380" spans="1:6" x14ac:dyDescent="0.25">
      <c r="A4380" s="40"/>
      <c r="B4380" s="40"/>
      <c r="C4380" s="40"/>
      <c r="D4380" s="40"/>
      <c r="E4380" s="13" t="s">
        <v>87</v>
      </c>
      <c r="F4380" s="14">
        <f ca="1">SUM(Table378140[MONTO TOTAL ESTIMADO])</f>
        <v>742358</v>
      </c>
    </row>
    <row r="4381" spans="1:6" ht="15.75" thickBot="1" x14ac:dyDescent="0.3">
      <c r="A4381" s="42"/>
      <c r="B4381" s="42"/>
      <c r="C4381" s="42"/>
      <c r="D4381" s="42"/>
      <c r="E4381" s="42"/>
      <c r="F4381" s="42"/>
    </row>
    <row r="4382" spans="1:6" ht="23.25" thickBot="1" x14ac:dyDescent="0.3">
      <c r="A4382" s="4" t="s">
        <v>19</v>
      </c>
      <c r="B4382" s="4" t="s">
        <v>20</v>
      </c>
      <c r="C4382" s="4" t="s">
        <v>21</v>
      </c>
      <c r="D4382" s="4" t="s">
        <v>22</v>
      </c>
      <c r="E4382" s="4" t="s">
        <v>23</v>
      </c>
      <c r="F4382" s="4" t="s">
        <v>24</v>
      </c>
    </row>
    <row r="4383" spans="1:6" ht="15.75" thickBot="1" x14ac:dyDescent="0.3">
      <c r="A4383" s="32" t="s">
        <v>310</v>
      </c>
      <c r="B4383" s="32" t="s">
        <v>311</v>
      </c>
      <c r="C4383" s="6" t="s">
        <v>27</v>
      </c>
      <c r="D4383" s="6" t="s">
        <v>188</v>
      </c>
      <c r="E4383" s="32" t="s">
        <v>262</v>
      </c>
      <c r="F4383" s="6"/>
    </row>
    <row r="4384" spans="1:6" ht="15.75" thickBot="1" x14ac:dyDescent="0.3">
      <c r="A4384" s="35" t="s">
        <v>31</v>
      </c>
      <c r="B4384" s="7" t="s">
        <v>32</v>
      </c>
      <c r="C4384" s="15">
        <v>45474</v>
      </c>
      <c r="D4384" s="35" t="s">
        <v>33</v>
      </c>
      <c r="E4384" s="7" t="s">
        <v>34</v>
      </c>
      <c r="F4384" s="6"/>
    </row>
    <row r="4385" spans="1:6" ht="15.75" thickBot="1" x14ac:dyDescent="0.3">
      <c r="A4385" s="36"/>
      <c r="B4385" s="7" t="s">
        <v>36</v>
      </c>
      <c r="C4385" s="5">
        <f>IF(C4384="","",IF(AND(MONTH(C4384)&gt;=1,MONTH(C4384)&lt;=3),1,IF(AND(MONTH(C4384)&gt;=4,MONTH(C4384)&lt;=6),2,IF(AND(MONTH(C4384)&gt;=7,MONTH(C4384)&lt;=9),3,4))))</f>
        <v>3</v>
      </c>
      <c r="D4385" s="36"/>
      <c r="E4385" s="7" t="s">
        <v>37</v>
      </c>
      <c r="F4385" s="6"/>
    </row>
    <row r="4386" spans="1:6" ht="15.75" thickBot="1" x14ac:dyDescent="0.3">
      <c r="A4386" s="36"/>
      <c r="B4386" s="7" t="s">
        <v>39</v>
      </c>
      <c r="C4386" s="15">
        <v>45565</v>
      </c>
      <c r="D4386" s="36"/>
      <c r="E4386" s="7" t="s">
        <v>40</v>
      </c>
      <c r="F4386" s="6"/>
    </row>
    <row r="4387" spans="1:6" ht="15.75" thickBot="1" x14ac:dyDescent="0.3">
      <c r="A4387" s="36"/>
      <c r="B4387" s="7" t="s">
        <v>36</v>
      </c>
      <c r="C4387" s="5">
        <f>IF(C4386="","",IF(AND(MONTH(C4386)&gt;=1,MONTH(C4386)&lt;=3),1,IF(AND(MONTH(C4386)&gt;=4,MONTH(C4386)&lt;=6),2,IF(AND(MONTH(C4386)&gt;=7,MONTH(C4386)&lt;=9),3,4))))</f>
        <v>3</v>
      </c>
      <c r="D4387" s="36"/>
      <c r="E4387" s="7" t="s">
        <v>41</v>
      </c>
      <c r="F4387" s="6"/>
    </row>
    <row r="4388" spans="1:6" ht="15.75" thickBot="1" x14ac:dyDescent="0.3">
      <c r="A4388" s="40"/>
      <c r="B4388" s="40"/>
      <c r="C4388" s="40"/>
      <c r="D4388" s="40"/>
      <c r="E4388" s="40"/>
      <c r="F4388" s="40"/>
    </row>
    <row r="4389" spans="1:6" ht="15.75" thickBot="1" x14ac:dyDescent="0.3">
      <c r="A4389" s="12" t="s">
        <v>42</v>
      </c>
      <c r="B4389" s="12" t="s">
        <v>43</v>
      </c>
      <c r="C4389" s="12" t="s">
        <v>44</v>
      </c>
      <c r="D4389" s="12" t="s">
        <v>45</v>
      </c>
      <c r="E4389" s="12" t="s">
        <v>46</v>
      </c>
      <c r="F4389" s="12" t="s">
        <v>47</v>
      </c>
    </row>
    <row r="4390" spans="1:6" x14ac:dyDescent="0.25">
      <c r="A4390" s="8">
        <v>45111501</v>
      </c>
      <c r="B4390" s="9" t="str">
        <f ca="1">IFERROR(INDEX(UNSPSCDes,MATCH(INDIRECT(ADDRESS(ROW(),COLUMN()-1,4)),UNSPSCCode,0)),"")</f>
        <v>Atriles autónomos</v>
      </c>
      <c r="C4390" s="33" t="s">
        <v>55</v>
      </c>
      <c r="D4390" s="8">
        <v>12</v>
      </c>
      <c r="E4390" s="11">
        <v>9800</v>
      </c>
      <c r="F4390" s="10">
        <f ca="1">INDIRECT(ADDRESS(ROW(),COLUMN()-2,4))*INDIRECT(ADDRESS(ROW(),COLUMN()-1,4))</f>
        <v>117600</v>
      </c>
    </row>
    <row r="4391" spans="1:6" x14ac:dyDescent="0.25">
      <c r="A4391" s="40"/>
      <c r="B4391" s="40"/>
      <c r="C4391" s="40"/>
      <c r="D4391" s="40"/>
      <c r="E4391" s="13" t="s">
        <v>87</v>
      </c>
      <c r="F4391" s="14">
        <f ca="1">SUM(Table379141[MONTO TOTAL ESTIMADO])</f>
        <v>117600</v>
      </c>
    </row>
    <row r="4392" spans="1:6" ht="15.75" thickBot="1" x14ac:dyDescent="0.3">
      <c r="A4392" s="42"/>
      <c r="B4392" s="42"/>
      <c r="C4392" s="42"/>
      <c r="D4392" s="42"/>
      <c r="E4392" s="42"/>
      <c r="F4392" s="42"/>
    </row>
    <row r="4393" spans="1:6" ht="23.25" thickBot="1" x14ac:dyDescent="0.3">
      <c r="A4393" s="4" t="s">
        <v>19</v>
      </c>
      <c r="B4393" s="4" t="s">
        <v>20</v>
      </c>
      <c r="C4393" s="4" t="s">
        <v>21</v>
      </c>
      <c r="D4393" s="4" t="s">
        <v>22</v>
      </c>
      <c r="E4393" s="4" t="s">
        <v>23</v>
      </c>
      <c r="F4393" s="4" t="s">
        <v>24</v>
      </c>
    </row>
    <row r="4394" spans="1:6" ht="15.75" thickBot="1" x14ac:dyDescent="0.3">
      <c r="A4394" s="32" t="s">
        <v>313</v>
      </c>
      <c r="B4394" s="32" t="s">
        <v>314</v>
      </c>
      <c r="C4394" s="32" t="s">
        <v>129</v>
      </c>
      <c r="D4394" s="6" t="s">
        <v>28</v>
      </c>
      <c r="E4394" s="32" t="s">
        <v>29</v>
      </c>
      <c r="F4394" s="6"/>
    </row>
    <row r="4395" spans="1:6" ht="15.75" thickBot="1" x14ac:dyDescent="0.3">
      <c r="A4395" s="35" t="s">
        <v>31</v>
      </c>
      <c r="B4395" s="7" t="s">
        <v>32</v>
      </c>
      <c r="C4395" s="15">
        <v>45474</v>
      </c>
      <c r="D4395" s="35" t="s">
        <v>33</v>
      </c>
      <c r="E4395" s="7" t="s">
        <v>34</v>
      </c>
      <c r="F4395" s="6"/>
    </row>
    <row r="4396" spans="1:6" ht="15.75" thickBot="1" x14ac:dyDescent="0.3">
      <c r="A4396" s="36"/>
      <c r="B4396" s="7" t="s">
        <v>36</v>
      </c>
      <c r="C4396" s="5">
        <f>IF(C4395="","",IF(AND(MONTH(C4395)&gt;=1,MONTH(C4395)&lt;=3),1,IF(AND(MONTH(C4395)&gt;=4,MONTH(C4395)&lt;=6),2,IF(AND(MONTH(C4395)&gt;=7,MONTH(C4395)&lt;=9),3,4))))</f>
        <v>3</v>
      </c>
      <c r="D4396" s="36"/>
      <c r="E4396" s="7" t="s">
        <v>37</v>
      </c>
      <c r="F4396" s="6"/>
    </row>
    <row r="4397" spans="1:6" ht="15.75" thickBot="1" x14ac:dyDescent="0.3">
      <c r="A4397" s="36"/>
      <c r="B4397" s="7" t="s">
        <v>39</v>
      </c>
      <c r="C4397" s="15">
        <v>45565</v>
      </c>
      <c r="D4397" s="36"/>
      <c r="E4397" s="7" t="s">
        <v>40</v>
      </c>
      <c r="F4397" s="6"/>
    </row>
    <row r="4398" spans="1:6" ht="15.75" thickBot="1" x14ac:dyDescent="0.3">
      <c r="A4398" s="36"/>
      <c r="B4398" s="7" t="s">
        <v>36</v>
      </c>
      <c r="C4398" s="5">
        <f>IF(C4397="","",IF(AND(MONTH(C4397)&gt;=1,MONTH(C4397)&lt;=3),1,IF(AND(MONTH(C4397)&gt;=4,MONTH(C4397)&lt;=6),2,IF(AND(MONTH(C4397)&gt;=7,MONTH(C4397)&lt;=9),3,4))))</f>
        <v>3</v>
      </c>
      <c r="D4398" s="36"/>
      <c r="E4398" s="7" t="s">
        <v>41</v>
      </c>
      <c r="F4398" s="6"/>
    </row>
    <row r="4399" spans="1:6" ht="15.75" thickBot="1" x14ac:dyDescent="0.3">
      <c r="A4399" s="40"/>
      <c r="B4399" s="40"/>
      <c r="C4399" s="40"/>
      <c r="D4399" s="40"/>
      <c r="E4399" s="40"/>
      <c r="F4399" s="40"/>
    </row>
    <row r="4400" spans="1:6" ht="15.75" thickBot="1" x14ac:dyDescent="0.3">
      <c r="A4400" s="12" t="s">
        <v>42</v>
      </c>
      <c r="B4400" s="12" t="s">
        <v>43</v>
      </c>
      <c r="C4400" s="12" t="s">
        <v>44</v>
      </c>
      <c r="D4400" s="12" t="s">
        <v>45</v>
      </c>
      <c r="E4400" s="12" t="s">
        <v>46</v>
      </c>
      <c r="F4400" s="12" t="s">
        <v>47</v>
      </c>
    </row>
    <row r="4401" spans="1:6" x14ac:dyDescent="0.25">
      <c r="A4401" s="8">
        <v>86101701</v>
      </c>
      <c r="B4401" s="9" t="str">
        <f ca="1">IFERROR(INDEX(UNSPSCDes,MATCH(INDIRECT(ADDRESS(ROW(),COLUMN()-1,4)),UNSPSCCode,0)),"")</f>
        <v>Servicios de formación profesional en comunicaciones</v>
      </c>
      <c r="C4401" s="8" t="s">
        <v>55</v>
      </c>
      <c r="D4401" s="8">
        <v>1</v>
      </c>
      <c r="E4401" s="11">
        <v>750000</v>
      </c>
      <c r="F4401" s="10">
        <f ca="1">INDIRECT(ADDRESS(ROW(),COLUMN()-2,4))*INDIRECT(ADDRESS(ROW(),COLUMN()-1,4))</f>
        <v>750000</v>
      </c>
    </row>
    <row r="4402" spans="1:6" x14ac:dyDescent="0.25">
      <c r="A4402" s="40"/>
      <c r="B4402" s="40"/>
      <c r="C4402" s="40"/>
      <c r="D4402" s="40"/>
      <c r="E4402" s="13" t="s">
        <v>87</v>
      </c>
      <c r="F4402" s="14">
        <f ca="1">SUM(Table380142[MONTO TOTAL ESTIMADO])</f>
        <v>750000</v>
      </c>
    </row>
    <row r="4403" spans="1:6" ht="15.75" thickBot="1" x14ac:dyDescent="0.3">
      <c r="A4403" s="42"/>
      <c r="B4403" s="42"/>
      <c r="C4403" s="42"/>
      <c r="D4403" s="42"/>
      <c r="E4403" s="42"/>
      <c r="F4403" s="42"/>
    </row>
    <row r="4404" spans="1:6" ht="23.25" thickBot="1" x14ac:dyDescent="0.3">
      <c r="A4404" s="4" t="s">
        <v>19</v>
      </c>
      <c r="B4404" s="4" t="s">
        <v>20</v>
      </c>
      <c r="C4404" s="4" t="s">
        <v>21</v>
      </c>
      <c r="D4404" s="4" t="s">
        <v>22</v>
      </c>
      <c r="E4404" s="4" t="s">
        <v>23</v>
      </c>
      <c r="F4404" s="4" t="s">
        <v>24</v>
      </c>
    </row>
    <row r="4405" spans="1:6" ht="15.75" thickBot="1" x14ac:dyDescent="0.3">
      <c r="A4405" s="32" t="s">
        <v>316</v>
      </c>
      <c r="B4405" s="32" t="s">
        <v>317</v>
      </c>
      <c r="C4405" s="32" t="s">
        <v>129</v>
      </c>
      <c r="D4405" s="6" t="s">
        <v>28</v>
      </c>
      <c r="E4405" s="6" t="s">
        <v>262</v>
      </c>
      <c r="F4405" s="6"/>
    </row>
    <row r="4406" spans="1:6" ht="15.75" thickBot="1" x14ac:dyDescent="0.3">
      <c r="A4406" s="35" t="s">
        <v>31</v>
      </c>
      <c r="B4406" s="7" t="s">
        <v>32</v>
      </c>
      <c r="C4406" s="15">
        <v>45474</v>
      </c>
      <c r="D4406" s="35" t="s">
        <v>33</v>
      </c>
      <c r="E4406" s="7" t="s">
        <v>34</v>
      </c>
      <c r="F4406" s="6"/>
    </row>
    <row r="4407" spans="1:6" ht="15.75" thickBot="1" x14ac:dyDescent="0.3">
      <c r="A4407" s="36"/>
      <c r="B4407" s="7" t="s">
        <v>36</v>
      </c>
      <c r="C4407" s="5">
        <f>IF(C4406="","",IF(AND(MONTH(C4406)&gt;=1,MONTH(C4406)&lt;=3),1,IF(AND(MONTH(C4406)&gt;=4,MONTH(C4406)&lt;=6),2,IF(AND(MONTH(C4406)&gt;=7,MONTH(C4406)&lt;=9),3,4))))</f>
        <v>3</v>
      </c>
      <c r="D4407" s="36"/>
      <c r="E4407" s="7" t="s">
        <v>37</v>
      </c>
      <c r="F4407" s="6"/>
    </row>
    <row r="4408" spans="1:6" ht="15.75" thickBot="1" x14ac:dyDescent="0.3">
      <c r="A4408" s="36"/>
      <c r="B4408" s="7" t="s">
        <v>39</v>
      </c>
      <c r="C4408" s="15">
        <v>45565</v>
      </c>
      <c r="D4408" s="36"/>
      <c r="E4408" s="7" t="s">
        <v>40</v>
      </c>
      <c r="F4408" s="6"/>
    </row>
    <row r="4409" spans="1:6" ht="15.75" thickBot="1" x14ac:dyDescent="0.3">
      <c r="A4409" s="36"/>
      <c r="B4409" s="7" t="s">
        <v>36</v>
      </c>
      <c r="C4409" s="5">
        <f>IF(C4408="","",IF(AND(MONTH(C4408)&gt;=1,MONTH(C4408)&lt;=3),1,IF(AND(MONTH(C4408)&gt;=4,MONTH(C4408)&lt;=6),2,IF(AND(MONTH(C4408)&gt;=7,MONTH(C4408)&lt;=9),3,4))))</f>
        <v>3</v>
      </c>
      <c r="D4409" s="36"/>
      <c r="E4409" s="7" t="s">
        <v>41</v>
      </c>
      <c r="F4409" s="6"/>
    </row>
    <row r="4410" spans="1:6" ht="15.75" thickBot="1" x14ac:dyDescent="0.3">
      <c r="A4410" s="40"/>
      <c r="B4410" s="40"/>
      <c r="C4410" s="40"/>
      <c r="D4410" s="40"/>
      <c r="E4410" s="40"/>
      <c r="F4410" s="40"/>
    </row>
    <row r="4411" spans="1:6" ht="15.75" thickBot="1" x14ac:dyDescent="0.3">
      <c r="A4411" s="12" t="s">
        <v>42</v>
      </c>
      <c r="B4411" s="12" t="s">
        <v>43</v>
      </c>
      <c r="C4411" s="12" t="s">
        <v>44</v>
      </c>
      <c r="D4411" s="12" t="s">
        <v>45</v>
      </c>
      <c r="E4411" s="12" t="s">
        <v>46</v>
      </c>
      <c r="F4411" s="12" t="s">
        <v>47</v>
      </c>
    </row>
    <row r="4412" spans="1:6" x14ac:dyDescent="0.25">
      <c r="A4412" s="8">
        <v>73151606</v>
      </c>
      <c r="B4412" s="9" t="str">
        <f ca="1">IFERROR(INDEX(UNSPSCDes,MATCH(INDIRECT(ADDRESS(ROW(),COLUMN()-1,4)),UNSPSCCode,0)),"")</f>
        <v>Servicios de empacado a mano</v>
      </c>
      <c r="C4412" s="8" t="s">
        <v>55</v>
      </c>
      <c r="D4412" s="8">
        <v>1</v>
      </c>
      <c r="E4412" s="11">
        <v>1215000</v>
      </c>
      <c r="F4412" s="10">
        <f ca="1">INDIRECT(ADDRESS(ROW(),COLUMN()-2,4))*INDIRECT(ADDRESS(ROW(),COLUMN()-1,4))</f>
        <v>1215000</v>
      </c>
    </row>
    <row r="4413" spans="1:6" x14ac:dyDescent="0.25">
      <c r="A4413" s="40"/>
      <c r="B4413" s="40"/>
      <c r="C4413" s="40"/>
      <c r="D4413" s="40"/>
      <c r="E4413" s="13" t="s">
        <v>87</v>
      </c>
      <c r="F4413" s="14">
        <f ca="1">SUM(Table381143[MONTO TOTAL ESTIMADO])</f>
        <v>1215000</v>
      </c>
    </row>
    <row r="4414" spans="1:6" ht="15.75" thickBot="1" x14ac:dyDescent="0.3">
      <c r="A4414" s="42"/>
      <c r="B4414" s="42"/>
      <c r="C4414" s="42"/>
      <c r="D4414" s="42"/>
      <c r="E4414" s="42"/>
      <c r="F4414" s="42"/>
    </row>
    <row r="4415" spans="1:6" ht="23.25" thickBot="1" x14ac:dyDescent="0.3">
      <c r="A4415" s="4" t="s">
        <v>19</v>
      </c>
      <c r="B4415" s="4" t="s">
        <v>20</v>
      </c>
      <c r="C4415" s="4" t="s">
        <v>21</v>
      </c>
      <c r="D4415" s="4" t="s">
        <v>22</v>
      </c>
      <c r="E4415" s="4" t="s">
        <v>23</v>
      </c>
      <c r="F4415" s="4" t="s">
        <v>24</v>
      </c>
    </row>
    <row r="4416" spans="1:6" ht="15.75" thickBot="1" x14ac:dyDescent="0.3">
      <c r="A4416" s="32" t="s">
        <v>319</v>
      </c>
      <c r="B4416" s="32" t="s">
        <v>320</v>
      </c>
      <c r="C4416" s="32" t="s">
        <v>27</v>
      </c>
      <c r="D4416" s="6" t="s">
        <v>188</v>
      </c>
      <c r="E4416" s="6" t="s">
        <v>262</v>
      </c>
      <c r="F4416" s="6"/>
    </row>
    <row r="4417" spans="1:6" ht="15.75" thickBot="1" x14ac:dyDescent="0.3">
      <c r="A4417" s="35" t="s">
        <v>31</v>
      </c>
      <c r="B4417" s="7" t="s">
        <v>32</v>
      </c>
      <c r="C4417" s="15">
        <v>45474</v>
      </c>
      <c r="D4417" s="35" t="s">
        <v>33</v>
      </c>
      <c r="E4417" s="7" t="s">
        <v>34</v>
      </c>
      <c r="F4417" s="6"/>
    </row>
    <row r="4418" spans="1:6" ht="15.75" thickBot="1" x14ac:dyDescent="0.3">
      <c r="A4418" s="36"/>
      <c r="B4418" s="7" t="s">
        <v>36</v>
      </c>
      <c r="C4418" s="5">
        <f>IF(C4417="","",IF(AND(MONTH(C4417)&gt;=1,MONTH(C4417)&lt;=3),1,IF(AND(MONTH(C4417)&gt;=4,MONTH(C4417)&lt;=6),2,IF(AND(MONTH(C4417)&gt;=7,MONTH(C4417)&lt;=9),3,4))))</f>
        <v>3</v>
      </c>
      <c r="D4418" s="36"/>
      <c r="E4418" s="7" t="s">
        <v>37</v>
      </c>
      <c r="F4418" s="6"/>
    </row>
    <row r="4419" spans="1:6" ht="15.75" thickBot="1" x14ac:dyDescent="0.3">
      <c r="A4419" s="36"/>
      <c r="B4419" s="7" t="s">
        <v>39</v>
      </c>
      <c r="C4419" s="15">
        <v>45565</v>
      </c>
      <c r="D4419" s="36"/>
      <c r="E4419" s="7" t="s">
        <v>40</v>
      </c>
      <c r="F4419" s="6"/>
    </row>
    <row r="4420" spans="1:6" ht="15.75" thickBot="1" x14ac:dyDescent="0.3">
      <c r="A4420" s="36"/>
      <c r="B4420" s="7" t="s">
        <v>36</v>
      </c>
      <c r="C4420" s="5">
        <f>IF(C4419="","",IF(AND(MONTH(C4419)&gt;=1,MONTH(C4419)&lt;=3),1,IF(AND(MONTH(C4419)&gt;=4,MONTH(C4419)&lt;=6),2,IF(AND(MONTH(C4419)&gt;=7,MONTH(C4419)&lt;=9),3,4))))</f>
        <v>3</v>
      </c>
      <c r="D4420" s="36"/>
      <c r="E4420" s="7" t="s">
        <v>41</v>
      </c>
      <c r="F4420" s="6"/>
    </row>
    <row r="4421" spans="1:6" ht="15.75" thickBot="1" x14ac:dyDescent="0.3">
      <c r="A4421" s="40"/>
      <c r="B4421" s="40"/>
      <c r="C4421" s="40"/>
      <c r="D4421" s="40"/>
      <c r="E4421" s="40"/>
      <c r="F4421" s="40"/>
    </row>
    <row r="4422" spans="1:6" ht="15.75" thickBot="1" x14ac:dyDescent="0.3">
      <c r="A4422" s="12" t="s">
        <v>42</v>
      </c>
      <c r="B4422" s="12" t="s">
        <v>43</v>
      </c>
      <c r="C4422" s="12" t="s">
        <v>44</v>
      </c>
      <c r="D4422" s="12" t="s">
        <v>45</v>
      </c>
      <c r="E4422" s="12" t="s">
        <v>46</v>
      </c>
      <c r="F4422" s="12" t="s">
        <v>47</v>
      </c>
    </row>
    <row r="4423" spans="1:6" x14ac:dyDescent="0.25">
      <c r="A4423" s="8">
        <v>52141526</v>
      </c>
      <c r="B4423" s="9" t="str">
        <f ca="1">IFERROR(INDEX(UNSPSCDes,MATCH(INDIRECT(ADDRESS(ROW(),COLUMN()-1,4)),UNSPSCCode,0)),"")</f>
        <v>Cafeteras para uso doméstico</v>
      </c>
      <c r="C4423" s="33" t="s">
        <v>55</v>
      </c>
      <c r="D4423" s="8">
        <v>4</v>
      </c>
      <c r="E4423" s="11">
        <v>29500</v>
      </c>
      <c r="F4423" s="10">
        <f ca="1">INDIRECT(ADDRESS(ROW(),COLUMN()-2,4))*INDIRECT(ADDRESS(ROW(),COLUMN()-1,4))</f>
        <v>118000</v>
      </c>
    </row>
    <row r="4424" spans="1:6" x14ac:dyDescent="0.25">
      <c r="A4424" s="40"/>
      <c r="B4424" s="40"/>
      <c r="C4424" s="40"/>
      <c r="D4424" s="40"/>
      <c r="E4424" s="13" t="s">
        <v>87</v>
      </c>
      <c r="F4424" s="14">
        <f ca="1">SUM(Table382144[MONTO TOTAL ESTIMADO])</f>
        <v>118000</v>
      </c>
    </row>
    <row r="4425" spans="1:6" ht="15.75" thickBot="1" x14ac:dyDescent="0.3">
      <c r="A4425" s="42"/>
      <c r="B4425" s="42"/>
      <c r="C4425" s="42"/>
      <c r="D4425" s="42"/>
      <c r="E4425" s="42"/>
      <c r="F4425" s="42"/>
    </row>
    <row r="4426" spans="1:6" ht="23.25" thickBot="1" x14ac:dyDescent="0.3">
      <c r="A4426" s="4" t="s">
        <v>19</v>
      </c>
      <c r="B4426" s="4" t="s">
        <v>20</v>
      </c>
      <c r="C4426" s="4" t="s">
        <v>21</v>
      </c>
      <c r="D4426" s="4" t="s">
        <v>22</v>
      </c>
      <c r="E4426" s="4" t="s">
        <v>23</v>
      </c>
      <c r="F4426" s="4" t="s">
        <v>24</v>
      </c>
    </row>
    <row r="4427" spans="1:6" ht="15.75" thickBot="1" x14ac:dyDescent="0.3">
      <c r="A4427" s="32" t="s">
        <v>322</v>
      </c>
      <c r="B4427" s="32" t="s">
        <v>323</v>
      </c>
      <c r="C4427" s="32" t="s">
        <v>27</v>
      </c>
      <c r="D4427" s="6" t="s">
        <v>28</v>
      </c>
      <c r="E4427" s="6" t="s">
        <v>262</v>
      </c>
      <c r="F4427" s="6"/>
    </row>
    <row r="4428" spans="1:6" ht="15.75" thickBot="1" x14ac:dyDescent="0.3">
      <c r="A4428" s="35" t="s">
        <v>31</v>
      </c>
      <c r="B4428" s="7" t="s">
        <v>32</v>
      </c>
      <c r="C4428" s="15">
        <v>45474</v>
      </c>
      <c r="D4428" s="35" t="s">
        <v>33</v>
      </c>
      <c r="E4428" s="7" t="s">
        <v>34</v>
      </c>
      <c r="F4428" s="6"/>
    </row>
    <row r="4429" spans="1:6" ht="15.75" thickBot="1" x14ac:dyDescent="0.3">
      <c r="A4429" s="36"/>
      <c r="B4429" s="7" t="s">
        <v>36</v>
      </c>
      <c r="C4429" s="5">
        <f>IF(C4428="","",IF(AND(MONTH(C4428)&gt;=1,MONTH(C4428)&lt;=3),1,IF(AND(MONTH(C4428)&gt;=4,MONTH(C4428)&lt;=6),2,IF(AND(MONTH(C4428)&gt;=7,MONTH(C4428)&lt;=9),3,4))))</f>
        <v>3</v>
      </c>
      <c r="D4429" s="36"/>
      <c r="E4429" s="7" t="s">
        <v>37</v>
      </c>
      <c r="F4429" s="6"/>
    </row>
    <row r="4430" spans="1:6" ht="15.75" thickBot="1" x14ac:dyDescent="0.3">
      <c r="A4430" s="36"/>
      <c r="B4430" s="7" t="s">
        <v>39</v>
      </c>
      <c r="C4430" s="15">
        <v>45565</v>
      </c>
      <c r="D4430" s="36"/>
      <c r="E4430" s="7" t="s">
        <v>40</v>
      </c>
      <c r="F4430" s="6"/>
    </row>
    <row r="4431" spans="1:6" ht="15.75" thickBot="1" x14ac:dyDescent="0.3">
      <c r="A4431" s="36"/>
      <c r="B4431" s="7" t="s">
        <v>36</v>
      </c>
      <c r="C4431" s="5">
        <f>IF(C4430="","",IF(AND(MONTH(C4430)&gt;=1,MONTH(C4430)&lt;=3),1,IF(AND(MONTH(C4430)&gt;=4,MONTH(C4430)&lt;=6),2,IF(AND(MONTH(C4430)&gt;=7,MONTH(C4430)&lt;=9),3,4))))</f>
        <v>3</v>
      </c>
      <c r="D4431" s="36"/>
      <c r="E4431" s="7" t="s">
        <v>41</v>
      </c>
      <c r="F4431" s="6"/>
    </row>
    <row r="4432" spans="1:6" ht="15.75" thickBot="1" x14ac:dyDescent="0.3">
      <c r="A4432" s="40"/>
      <c r="B4432" s="40"/>
      <c r="C4432" s="40"/>
      <c r="D4432" s="40"/>
      <c r="E4432" s="40"/>
      <c r="F4432" s="40"/>
    </row>
    <row r="4433" spans="1:6" ht="15.75" thickBot="1" x14ac:dyDescent="0.3">
      <c r="A4433" s="12" t="s">
        <v>42</v>
      </c>
      <c r="B4433" s="12" t="s">
        <v>43</v>
      </c>
      <c r="C4433" s="12" t="s">
        <v>44</v>
      </c>
      <c r="D4433" s="12" t="s">
        <v>45</v>
      </c>
      <c r="E4433" s="12" t="s">
        <v>46</v>
      </c>
      <c r="F4433" s="12" t="s">
        <v>47</v>
      </c>
    </row>
    <row r="4434" spans="1:6" x14ac:dyDescent="0.25">
      <c r="A4434" s="8">
        <v>14111704</v>
      </c>
      <c r="B4434" s="9" t="str">
        <f ca="1">IFERROR(INDEX(UNSPSCDes,MATCH(INDIRECT(ADDRESS(ROW(),COLUMN()-1,4)),UNSPSCCode,0)),"")</f>
        <v>Papel higiénico</v>
      </c>
      <c r="C4434" s="8" t="s">
        <v>55</v>
      </c>
      <c r="D4434" s="8">
        <v>600</v>
      </c>
      <c r="E4434" s="11">
        <v>875.99</v>
      </c>
      <c r="F4434" s="10">
        <f ca="1">INDIRECT(ADDRESS(ROW(),COLUMN()-2,4))*INDIRECT(ADDRESS(ROW(),COLUMN()-1,4))</f>
        <v>525594</v>
      </c>
    </row>
    <row r="4435" spans="1:6" x14ac:dyDescent="0.25">
      <c r="A4435" s="8">
        <v>14111703</v>
      </c>
      <c r="B4435" s="9" t="str">
        <f ca="1">IFERROR(INDEX(UNSPSCDes,MATCH(INDIRECT(ADDRESS(ROW(),COLUMN()-1,4)),UNSPSCCode,0)),"")</f>
        <v>Toallas de papel</v>
      </c>
      <c r="C4435" s="33" t="s">
        <v>55</v>
      </c>
      <c r="D4435" s="8">
        <v>200</v>
      </c>
      <c r="E4435" s="11">
        <v>894</v>
      </c>
      <c r="F4435" s="10">
        <f ca="1">INDIRECT(ADDRESS(ROW(),COLUMN()-2,4))*INDIRECT(ADDRESS(ROW(),COLUMN()-1,4))</f>
        <v>178800</v>
      </c>
    </row>
    <row r="4436" spans="1:6" x14ac:dyDescent="0.25">
      <c r="A4436" s="8">
        <v>14111705</v>
      </c>
      <c r="B4436" s="9" t="str">
        <f ca="1">IFERROR(INDEX(UNSPSCDes,MATCH(INDIRECT(ADDRESS(ROW(),COLUMN()-1,4)),UNSPSCCode,0)),"")</f>
        <v>Servilletas de papel</v>
      </c>
      <c r="C4436" s="8" t="s">
        <v>74</v>
      </c>
      <c r="D4436" s="8">
        <v>2000</v>
      </c>
      <c r="E4436" s="11">
        <v>138.01</v>
      </c>
      <c r="F4436" s="10">
        <f ca="1">INDIRECT(ADDRESS(ROW(),COLUMN()-2,4))*INDIRECT(ADDRESS(ROW(),COLUMN()-1,4))</f>
        <v>276020</v>
      </c>
    </row>
    <row r="4437" spans="1:6" x14ac:dyDescent="0.25">
      <c r="A4437" s="40"/>
      <c r="B4437" s="40"/>
      <c r="C4437" s="40"/>
      <c r="D4437" s="40"/>
      <c r="E4437" s="13" t="s">
        <v>87</v>
      </c>
      <c r="F4437" s="14">
        <f ca="1">SUM(Table383145[MONTO TOTAL ESTIMADO])</f>
        <v>980414</v>
      </c>
    </row>
    <row r="4438" spans="1:6" ht="15.75" thickBot="1" x14ac:dyDescent="0.3">
      <c r="A4438" s="42"/>
      <c r="B4438" s="42"/>
      <c r="C4438" s="42"/>
      <c r="D4438" s="42"/>
      <c r="E4438" s="42"/>
      <c r="F4438" s="42"/>
    </row>
    <row r="4439" spans="1:6" ht="23.25" thickBot="1" x14ac:dyDescent="0.3">
      <c r="A4439" s="4" t="s">
        <v>19</v>
      </c>
      <c r="B4439" s="4" t="s">
        <v>20</v>
      </c>
      <c r="C4439" s="4" t="s">
        <v>21</v>
      </c>
      <c r="D4439" s="4" t="s">
        <v>22</v>
      </c>
      <c r="E4439" s="4" t="s">
        <v>23</v>
      </c>
      <c r="F4439" s="4" t="s">
        <v>24</v>
      </c>
    </row>
    <row r="4440" spans="1:6" ht="15.75" thickBot="1" x14ac:dyDescent="0.3">
      <c r="A4440" s="32" t="s">
        <v>325</v>
      </c>
      <c r="B4440" s="32" t="s">
        <v>326</v>
      </c>
      <c r="C4440" s="32" t="s">
        <v>27</v>
      </c>
      <c r="D4440" s="6" t="s">
        <v>28</v>
      </c>
      <c r="E4440" s="6" t="s">
        <v>262</v>
      </c>
      <c r="F4440" s="6"/>
    </row>
    <row r="4441" spans="1:6" ht="15.75" thickBot="1" x14ac:dyDescent="0.3">
      <c r="A4441" s="35" t="s">
        <v>31</v>
      </c>
      <c r="B4441" s="7" t="s">
        <v>32</v>
      </c>
      <c r="C4441" s="15">
        <v>45474</v>
      </c>
      <c r="D4441" s="35" t="s">
        <v>33</v>
      </c>
      <c r="E4441" s="7" t="s">
        <v>34</v>
      </c>
      <c r="F4441" s="6"/>
    </row>
    <row r="4442" spans="1:6" ht="15.75" thickBot="1" x14ac:dyDescent="0.3">
      <c r="A4442" s="36"/>
      <c r="B4442" s="7" t="s">
        <v>36</v>
      </c>
      <c r="C4442" s="5">
        <f>IF(C4441="","",IF(AND(MONTH(C4441)&gt;=1,MONTH(C4441)&lt;=3),1,IF(AND(MONTH(C4441)&gt;=4,MONTH(C4441)&lt;=6),2,IF(AND(MONTH(C4441)&gt;=7,MONTH(C4441)&lt;=9),3,4))))</f>
        <v>3</v>
      </c>
      <c r="D4442" s="36"/>
      <c r="E4442" s="7" t="s">
        <v>37</v>
      </c>
      <c r="F4442" s="6"/>
    </row>
    <row r="4443" spans="1:6" ht="15.75" thickBot="1" x14ac:dyDescent="0.3">
      <c r="A4443" s="36"/>
      <c r="B4443" s="7" t="s">
        <v>39</v>
      </c>
      <c r="C4443" s="15">
        <v>45565</v>
      </c>
      <c r="D4443" s="36"/>
      <c r="E4443" s="7" t="s">
        <v>40</v>
      </c>
      <c r="F4443" s="6"/>
    </row>
    <row r="4444" spans="1:6" ht="15.75" thickBot="1" x14ac:dyDescent="0.3">
      <c r="A4444" s="36"/>
      <c r="B4444" s="7" t="s">
        <v>36</v>
      </c>
      <c r="C4444" s="5">
        <f>IF(C4443="","",IF(AND(MONTH(C4443)&gt;=1,MONTH(C4443)&lt;=3),1,IF(AND(MONTH(C4443)&gt;=4,MONTH(C4443)&lt;=6),2,IF(AND(MONTH(C4443)&gt;=7,MONTH(C4443)&lt;=9),3,4))))</f>
        <v>3</v>
      </c>
      <c r="D4444" s="36"/>
      <c r="E4444" s="7" t="s">
        <v>41</v>
      </c>
      <c r="F4444" s="6"/>
    </row>
    <row r="4445" spans="1:6" ht="15.75" thickBot="1" x14ac:dyDescent="0.3">
      <c r="A4445" s="40"/>
      <c r="B4445" s="40"/>
      <c r="C4445" s="40"/>
      <c r="D4445" s="40"/>
      <c r="E4445" s="40"/>
      <c r="F4445" s="40"/>
    </row>
    <row r="4446" spans="1:6" ht="15.75" thickBot="1" x14ac:dyDescent="0.3">
      <c r="A4446" s="12" t="s">
        <v>42</v>
      </c>
      <c r="B4446" s="12" t="s">
        <v>43</v>
      </c>
      <c r="C4446" s="12" t="s">
        <v>44</v>
      </c>
      <c r="D4446" s="12" t="s">
        <v>45</v>
      </c>
      <c r="E4446" s="12" t="s">
        <v>46</v>
      </c>
      <c r="F4446" s="12" t="s">
        <v>47</v>
      </c>
    </row>
    <row r="4447" spans="1:6" x14ac:dyDescent="0.25">
      <c r="A4447" s="8">
        <v>47131803</v>
      </c>
      <c r="B4447" s="9" t="str">
        <f t="shared" ref="B4447:B4468" ca="1" si="66">IFERROR(INDEX(UNSPSCDes,MATCH(INDIRECT(ADDRESS(ROW(),COLUMN()-1,4)),UNSPSCCode,0)),"")</f>
        <v>Desinfectantes para uso doméstico</v>
      </c>
      <c r="C4447" s="8" t="s">
        <v>92</v>
      </c>
      <c r="D4447" s="8">
        <v>600</v>
      </c>
      <c r="E4447" s="11">
        <v>383.5</v>
      </c>
      <c r="F4447" s="10">
        <f t="shared" ref="F4447:F4468" ca="1" si="67">INDIRECT(ADDRESS(ROW(),COLUMN()-2,4))*INDIRECT(ADDRESS(ROW(),COLUMN()-1,4))</f>
        <v>230100</v>
      </c>
    </row>
    <row r="4448" spans="1:6" x14ac:dyDescent="0.25">
      <c r="A4448" s="8">
        <v>47131807</v>
      </c>
      <c r="B4448" s="9" t="str">
        <f t="shared" ca="1" si="66"/>
        <v>Blanqueadores</v>
      </c>
      <c r="C4448" s="33" t="s">
        <v>92</v>
      </c>
      <c r="D4448" s="8">
        <v>600</v>
      </c>
      <c r="E4448" s="11">
        <v>76.7</v>
      </c>
      <c r="F4448" s="10">
        <f t="shared" ca="1" si="67"/>
        <v>46020</v>
      </c>
    </row>
    <row r="4449" spans="1:6" x14ac:dyDescent="0.25">
      <c r="A4449" s="8">
        <v>47131803</v>
      </c>
      <c r="B4449" s="9" t="str">
        <f t="shared" ca="1" si="66"/>
        <v>Desinfectantes para uso doméstico</v>
      </c>
      <c r="C4449" s="33" t="s">
        <v>92</v>
      </c>
      <c r="D4449" s="8">
        <v>600</v>
      </c>
      <c r="E4449" s="11">
        <v>129.80000000000001</v>
      </c>
      <c r="F4449" s="10">
        <f t="shared" ca="1" si="67"/>
        <v>77880</v>
      </c>
    </row>
    <row r="4450" spans="1:6" x14ac:dyDescent="0.25">
      <c r="A4450" s="8">
        <v>47131803</v>
      </c>
      <c r="B4450" s="9" t="str">
        <f t="shared" ca="1" si="66"/>
        <v>Desinfectantes para uso doméstico</v>
      </c>
      <c r="C4450" s="33" t="s">
        <v>92</v>
      </c>
      <c r="D4450" s="8">
        <v>600</v>
      </c>
      <c r="E4450" s="11">
        <v>159.30000000000001</v>
      </c>
      <c r="F4450" s="10">
        <f t="shared" ca="1" si="67"/>
        <v>95580</v>
      </c>
    </row>
    <row r="4451" spans="1:6" x14ac:dyDescent="0.25">
      <c r="A4451" s="8">
        <v>47121702</v>
      </c>
      <c r="B4451" s="9" t="str">
        <f t="shared" ca="1" si="66"/>
        <v>Contenedores de desperdicios o revestimientos rígidos</v>
      </c>
      <c r="C4451" s="8" t="s">
        <v>55</v>
      </c>
      <c r="D4451" s="8">
        <v>200</v>
      </c>
      <c r="E4451" s="11">
        <v>767</v>
      </c>
      <c r="F4451" s="10">
        <f t="shared" ca="1" si="67"/>
        <v>153400</v>
      </c>
    </row>
    <row r="4452" spans="1:6" x14ac:dyDescent="0.25">
      <c r="A4452" s="8">
        <v>24111503</v>
      </c>
      <c r="B4452" s="9" t="str">
        <f t="shared" ca="1" si="66"/>
        <v>Bolsas plásticas</v>
      </c>
      <c r="C4452" s="8" t="s">
        <v>74</v>
      </c>
      <c r="D4452" s="8">
        <v>700</v>
      </c>
      <c r="E4452" s="11">
        <v>47.2</v>
      </c>
      <c r="F4452" s="10">
        <f t="shared" ca="1" si="67"/>
        <v>33040</v>
      </c>
    </row>
    <row r="4453" spans="1:6" x14ac:dyDescent="0.25">
      <c r="A4453" s="8">
        <v>24111503</v>
      </c>
      <c r="B4453" s="9" t="str">
        <f t="shared" ca="1" si="66"/>
        <v>Bolsas plásticas</v>
      </c>
      <c r="C4453" s="33" t="s">
        <v>74</v>
      </c>
      <c r="D4453" s="8">
        <v>700</v>
      </c>
      <c r="E4453" s="11">
        <v>47.2</v>
      </c>
      <c r="F4453" s="10">
        <f t="shared" ca="1" si="67"/>
        <v>33040</v>
      </c>
    </row>
    <row r="4454" spans="1:6" x14ac:dyDescent="0.25">
      <c r="A4454" s="8">
        <v>24111503</v>
      </c>
      <c r="B4454" s="9" t="str">
        <f t="shared" ca="1" si="66"/>
        <v>Bolsas plásticas</v>
      </c>
      <c r="C4454" s="33" t="s">
        <v>74</v>
      </c>
      <c r="D4454" s="8">
        <v>500</v>
      </c>
      <c r="E4454" s="11">
        <v>47.2</v>
      </c>
      <c r="F4454" s="10">
        <f t="shared" ca="1" si="67"/>
        <v>23600</v>
      </c>
    </row>
    <row r="4455" spans="1:6" x14ac:dyDescent="0.25">
      <c r="A4455" s="8">
        <v>47131604</v>
      </c>
      <c r="B4455" s="9" t="str">
        <f t="shared" ca="1" si="66"/>
        <v>Escobas</v>
      </c>
      <c r="C4455" s="33" t="s">
        <v>55</v>
      </c>
      <c r="D4455" s="8">
        <v>600</v>
      </c>
      <c r="E4455" s="11">
        <v>165.2</v>
      </c>
      <c r="F4455" s="10">
        <f t="shared" ca="1" si="67"/>
        <v>99120</v>
      </c>
    </row>
    <row r="4456" spans="1:6" x14ac:dyDescent="0.25">
      <c r="A4456" s="8">
        <v>47131618</v>
      </c>
      <c r="B4456" s="9" t="str">
        <f t="shared" ca="1" si="66"/>
        <v>Traperos húmedos</v>
      </c>
      <c r="C4456" s="33" t="s">
        <v>55</v>
      </c>
      <c r="D4456" s="8">
        <v>600</v>
      </c>
      <c r="E4456" s="11">
        <v>206.5</v>
      </c>
      <c r="F4456" s="10">
        <f t="shared" ca="1" si="67"/>
        <v>123900</v>
      </c>
    </row>
    <row r="4457" spans="1:6" x14ac:dyDescent="0.25">
      <c r="A4457" s="8">
        <v>47131611</v>
      </c>
      <c r="B4457" s="9" t="str">
        <f t="shared" ca="1" si="66"/>
        <v>Recogedor de basura</v>
      </c>
      <c r="C4457" s="33" t="s">
        <v>55</v>
      </c>
      <c r="D4457" s="8">
        <v>150</v>
      </c>
      <c r="E4457" s="11">
        <v>106.2</v>
      </c>
      <c r="F4457" s="10">
        <f t="shared" ca="1" si="67"/>
        <v>15930</v>
      </c>
    </row>
    <row r="4458" spans="1:6" x14ac:dyDescent="0.25">
      <c r="A4458" s="8">
        <v>47131604</v>
      </c>
      <c r="B4458" s="9" t="str">
        <f t="shared" ca="1" si="66"/>
        <v>Escobas</v>
      </c>
      <c r="C4458" s="33" t="s">
        <v>55</v>
      </c>
      <c r="D4458" s="8">
        <v>200</v>
      </c>
      <c r="E4458" s="11">
        <v>177</v>
      </c>
      <c r="F4458" s="10">
        <f t="shared" ca="1" si="67"/>
        <v>35400</v>
      </c>
    </row>
    <row r="4459" spans="1:6" x14ac:dyDescent="0.25">
      <c r="A4459" s="8">
        <v>47131824</v>
      </c>
      <c r="B4459" s="9" t="str">
        <f t="shared" ca="1" si="66"/>
        <v>Limpiadores de vidrio o ventanas</v>
      </c>
      <c r="C4459" s="33" t="s">
        <v>55</v>
      </c>
      <c r="D4459" s="8">
        <v>150</v>
      </c>
      <c r="E4459" s="11">
        <v>147.5</v>
      </c>
      <c r="F4459" s="10">
        <f t="shared" ca="1" si="67"/>
        <v>22125</v>
      </c>
    </row>
    <row r="4460" spans="1:6" x14ac:dyDescent="0.25">
      <c r="A4460" s="8">
        <v>47131502</v>
      </c>
      <c r="B4460" s="9" t="str">
        <f t="shared" ca="1" si="66"/>
        <v>Pañitos o toallas para limpiar</v>
      </c>
      <c r="C4460" s="33" t="s">
        <v>55</v>
      </c>
      <c r="D4460" s="8">
        <v>600</v>
      </c>
      <c r="E4460" s="11">
        <v>57.82</v>
      </c>
      <c r="F4460" s="10">
        <f t="shared" ca="1" si="67"/>
        <v>34692</v>
      </c>
    </row>
    <row r="4461" spans="1:6" x14ac:dyDescent="0.25">
      <c r="A4461" s="8">
        <v>47131604</v>
      </c>
      <c r="B4461" s="9" t="str">
        <f t="shared" ca="1" si="66"/>
        <v>Escobas</v>
      </c>
      <c r="C4461" s="33" t="s">
        <v>55</v>
      </c>
      <c r="D4461" s="8">
        <v>25</v>
      </c>
      <c r="E4461" s="11">
        <v>1121</v>
      </c>
      <c r="F4461" s="10">
        <f t="shared" ca="1" si="67"/>
        <v>28025</v>
      </c>
    </row>
    <row r="4462" spans="1:6" x14ac:dyDescent="0.25">
      <c r="A4462" s="8">
        <v>46181504</v>
      </c>
      <c r="B4462" s="9" t="str">
        <f t="shared" ca="1" si="66"/>
        <v>Guantes de protección</v>
      </c>
      <c r="C4462" s="33" t="s">
        <v>55</v>
      </c>
      <c r="D4462" s="8">
        <v>600</v>
      </c>
      <c r="E4462" s="11">
        <v>82.6</v>
      </c>
      <c r="F4462" s="10">
        <f t="shared" ca="1" si="67"/>
        <v>49560</v>
      </c>
    </row>
    <row r="4463" spans="1:6" x14ac:dyDescent="0.25">
      <c r="A4463" s="8">
        <v>47131803</v>
      </c>
      <c r="B4463" s="9" t="str">
        <f t="shared" ca="1" si="66"/>
        <v>Desinfectantes para uso doméstico</v>
      </c>
      <c r="C4463" s="33" t="s">
        <v>55</v>
      </c>
      <c r="D4463" s="8">
        <v>500</v>
      </c>
      <c r="E4463" s="11">
        <v>525</v>
      </c>
      <c r="F4463" s="10">
        <f t="shared" ca="1" si="67"/>
        <v>262500</v>
      </c>
    </row>
    <row r="4464" spans="1:6" x14ac:dyDescent="0.25">
      <c r="A4464" s="8">
        <v>47131502</v>
      </c>
      <c r="B4464" s="9" t="str">
        <f t="shared" ca="1" si="66"/>
        <v>Pañitos o toallas para limpiar</v>
      </c>
      <c r="C4464" s="33" t="s">
        <v>55</v>
      </c>
      <c r="D4464" s="8">
        <v>300</v>
      </c>
      <c r="E4464" s="11">
        <v>106.2</v>
      </c>
      <c r="F4464" s="10">
        <f t="shared" ca="1" si="67"/>
        <v>31860</v>
      </c>
    </row>
    <row r="4465" spans="1:6" x14ac:dyDescent="0.25">
      <c r="A4465" s="8">
        <v>47131812</v>
      </c>
      <c r="B4465" s="9" t="str">
        <f t="shared" ca="1" si="66"/>
        <v>Refrescador de aire</v>
      </c>
      <c r="C4465" s="33" t="s">
        <v>55</v>
      </c>
      <c r="D4465" s="8">
        <v>1200</v>
      </c>
      <c r="E4465" s="11">
        <v>135.69999999999999</v>
      </c>
      <c r="F4465" s="10">
        <f t="shared" ca="1" si="67"/>
        <v>162840</v>
      </c>
    </row>
    <row r="4466" spans="1:6" x14ac:dyDescent="0.25">
      <c r="A4466" s="8">
        <v>47131816</v>
      </c>
      <c r="B4466" s="9" t="str">
        <f t="shared" ca="1" si="66"/>
        <v>Desodorantes</v>
      </c>
      <c r="C4466" s="33" t="s">
        <v>55</v>
      </c>
      <c r="D4466" s="8">
        <v>300</v>
      </c>
      <c r="E4466" s="11">
        <v>59</v>
      </c>
      <c r="F4466" s="10">
        <f t="shared" ca="1" si="67"/>
        <v>17700</v>
      </c>
    </row>
    <row r="4467" spans="1:6" x14ac:dyDescent="0.25">
      <c r="A4467" s="8">
        <v>47121804</v>
      </c>
      <c r="B4467" s="9" t="str">
        <f t="shared" ca="1" si="66"/>
        <v>Baldes para limpieza</v>
      </c>
      <c r="C4467" s="33" t="s">
        <v>55</v>
      </c>
      <c r="D4467" s="8">
        <v>100</v>
      </c>
      <c r="E4467" s="11">
        <v>265.5</v>
      </c>
      <c r="F4467" s="10">
        <f t="shared" ca="1" si="67"/>
        <v>26550</v>
      </c>
    </row>
    <row r="4468" spans="1:6" x14ac:dyDescent="0.25">
      <c r="A4468" s="8">
        <v>47121806</v>
      </c>
      <c r="B4468" s="9" t="str">
        <f t="shared" ca="1" si="66"/>
        <v>Escurridor de trapero</v>
      </c>
      <c r="C4468" s="33" t="s">
        <v>55</v>
      </c>
      <c r="D4468" s="8">
        <v>12</v>
      </c>
      <c r="E4468" s="11">
        <v>5841</v>
      </c>
      <c r="F4468" s="10">
        <f t="shared" ca="1" si="67"/>
        <v>70092</v>
      </c>
    </row>
    <row r="4469" spans="1:6" x14ac:dyDescent="0.25">
      <c r="A4469" s="40"/>
      <c r="B4469" s="40"/>
      <c r="C4469" s="40"/>
      <c r="D4469" s="40"/>
      <c r="E4469" s="13" t="s">
        <v>87</v>
      </c>
      <c r="F4469" s="14">
        <f ca="1">SUM(Table384146[MONTO TOTAL ESTIMADO])</f>
        <v>1672954</v>
      </c>
    </row>
    <row r="4470" spans="1:6" ht="15.75" thickBot="1" x14ac:dyDescent="0.3">
      <c r="A4470" s="42"/>
      <c r="B4470" s="42"/>
      <c r="C4470" s="42"/>
      <c r="D4470" s="42"/>
      <c r="E4470" s="42"/>
      <c r="F4470" s="42"/>
    </row>
    <row r="4471" spans="1:6" ht="23.25" thickBot="1" x14ac:dyDescent="0.3">
      <c r="A4471" s="4" t="s">
        <v>19</v>
      </c>
      <c r="B4471" s="4" t="s">
        <v>20</v>
      </c>
      <c r="C4471" s="4" t="s">
        <v>21</v>
      </c>
      <c r="D4471" s="4" t="s">
        <v>22</v>
      </c>
      <c r="E4471" s="4" t="s">
        <v>23</v>
      </c>
      <c r="F4471" s="4" t="s">
        <v>24</v>
      </c>
    </row>
    <row r="4472" spans="1:6" ht="15.75" thickBot="1" x14ac:dyDescent="0.3">
      <c r="A4472" s="32" t="s">
        <v>335</v>
      </c>
      <c r="B4472" s="32" t="s">
        <v>336</v>
      </c>
      <c r="C4472" s="32" t="s">
        <v>27</v>
      </c>
      <c r="D4472" s="6" t="s">
        <v>28</v>
      </c>
      <c r="E4472" s="6" t="s">
        <v>262</v>
      </c>
      <c r="F4472" s="6"/>
    </row>
    <row r="4473" spans="1:6" ht="15.75" thickBot="1" x14ac:dyDescent="0.3">
      <c r="A4473" s="35" t="s">
        <v>31</v>
      </c>
      <c r="B4473" s="7" t="s">
        <v>32</v>
      </c>
      <c r="C4473" s="15">
        <v>45474</v>
      </c>
      <c r="D4473" s="35" t="s">
        <v>33</v>
      </c>
      <c r="E4473" s="7" t="s">
        <v>34</v>
      </c>
      <c r="F4473" s="6"/>
    </row>
    <row r="4474" spans="1:6" ht="15.75" thickBot="1" x14ac:dyDescent="0.3">
      <c r="A4474" s="36"/>
      <c r="B4474" s="7" t="s">
        <v>36</v>
      </c>
      <c r="C4474" s="5">
        <f>IF(C4473="","",IF(AND(MONTH(C4473)&gt;=1,MONTH(C4473)&lt;=3),1,IF(AND(MONTH(C4473)&gt;=4,MONTH(C4473)&lt;=6),2,IF(AND(MONTH(C4473)&gt;=7,MONTH(C4473)&lt;=9),3,4))))</f>
        <v>3</v>
      </c>
      <c r="D4474" s="36"/>
      <c r="E4474" s="7" t="s">
        <v>37</v>
      </c>
      <c r="F4474" s="6"/>
    </row>
    <row r="4475" spans="1:6" ht="15.75" thickBot="1" x14ac:dyDescent="0.3">
      <c r="A4475" s="36"/>
      <c r="B4475" s="7" t="s">
        <v>39</v>
      </c>
      <c r="C4475" s="15">
        <v>45565</v>
      </c>
      <c r="D4475" s="36"/>
      <c r="E4475" s="7" t="s">
        <v>40</v>
      </c>
      <c r="F4475" s="6"/>
    </row>
    <row r="4476" spans="1:6" ht="15.75" thickBot="1" x14ac:dyDescent="0.3">
      <c r="A4476" s="36"/>
      <c r="B4476" s="7" t="s">
        <v>36</v>
      </c>
      <c r="C4476" s="5">
        <f>IF(C4475="","",IF(AND(MONTH(C4475)&gt;=1,MONTH(C4475)&lt;=3),1,IF(AND(MONTH(C4475)&gt;=4,MONTH(C4475)&lt;=6),2,IF(AND(MONTH(C4475)&gt;=7,MONTH(C4475)&lt;=9),3,4))))</f>
        <v>3</v>
      </c>
      <c r="D4476" s="36"/>
      <c r="E4476" s="7" t="s">
        <v>41</v>
      </c>
      <c r="F4476" s="6"/>
    </row>
    <row r="4477" spans="1:6" ht="15.75" thickBot="1" x14ac:dyDescent="0.3">
      <c r="A4477" s="40"/>
      <c r="B4477" s="40"/>
      <c r="C4477" s="40"/>
      <c r="D4477" s="40"/>
      <c r="E4477" s="40"/>
      <c r="F4477" s="40"/>
    </row>
    <row r="4478" spans="1:6" ht="15.75" thickBot="1" x14ac:dyDescent="0.3">
      <c r="A4478" s="12" t="s">
        <v>42</v>
      </c>
      <c r="B4478" s="12" t="s">
        <v>43</v>
      </c>
      <c r="C4478" s="12" t="s">
        <v>44</v>
      </c>
      <c r="D4478" s="12" t="s">
        <v>45</v>
      </c>
      <c r="E4478" s="12" t="s">
        <v>46</v>
      </c>
      <c r="F4478" s="12" t="s">
        <v>47</v>
      </c>
    </row>
    <row r="4479" spans="1:6" x14ac:dyDescent="0.25">
      <c r="A4479" s="8">
        <v>55121727</v>
      </c>
      <c r="B4479" s="9" t="str">
        <f ca="1">IFERROR(INDEX(UNSPSCDes,MATCH(INDIRECT(ADDRESS(ROW(),COLUMN()-1,4)),UNSPSCCode,0)),"")</f>
        <v>Letreros</v>
      </c>
      <c r="C4479" s="8" t="s">
        <v>55</v>
      </c>
      <c r="D4479" s="8">
        <v>10</v>
      </c>
      <c r="E4479" s="11">
        <v>31364.400000000001</v>
      </c>
      <c r="F4479" s="10">
        <f ca="1">INDIRECT(ADDRESS(ROW(),COLUMN()-2,4))*INDIRECT(ADDRESS(ROW(),COLUMN()-1,4))</f>
        <v>313644</v>
      </c>
    </row>
    <row r="4480" spans="1:6" x14ac:dyDescent="0.25">
      <c r="A4480" s="40"/>
      <c r="B4480" s="40"/>
      <c r="C4480" s="40"/>
      <c r="D4480" s="40"/>
      <c r="E4480" s="13" t="s">
        <v>87</v>
      </c>
      <c r="F4480" s="14">
        <f ca="1">SUM(Table385147[MONTO TOTAL ESTIMADO])</f>
        <v>313644</v>
      </c>
    </row>
    <row r="4481" spans="1:6" ht="15.75" thickBot="1" x14ac:dyDescent="0.3">
      <c r="A4481" s="42"/>
      <c r="B4481" s="42"/>
      <c r="C4481" s="42"/>
      <c r="D4481" s="42"/>
      <c r="E4481" s="42"/>
      <c r="F4481" s="42"/>
    </row>
    <row r="4482" spans="1:6" ht="23.25" thickBot="1" x14ac:dyDescent="0.3">
      <c r="A4482" s="4" t="s">
        <v>19</v>
      </c>
      <c r="B4482" s="4" t="s">
        <v>20</v>
      </c>
      <c r="C4482" s="4" t="s">
        <v>21</v>
      </c>
      <c r="D4482" s="4" t="s">
        <v>22</v>
      </c>
      <c r="E4482" s="4" t="s">
        <v>23</v>
      </c>
      <c r="F4482" s="4" t="s">
        <v>24</v>
      </c>
    </row>
    <row r="4483" spans="1:6" ht="15.75" thickBot="1" x14ac:dyDescent="0.3">
      <c r="A4483" s="32" t="s">
        <v>338</v>
      </c>
      <c r="B4483" s="32" t="s">
        <v>339</v>
      </c>
      <c r="C4483" s="32" t="s">
        <v>27</v>
      </c>
      <c r="D4483" s="6" t="s">
        <v>188</v>
      </c>
      <c r="E4483" s="6" t="s">
        <v>262</v>
      </c>
      <c r="F4483" s="6"/>
    </row>
    <row r="4484" spans="1:6" ht="15.75" thickBot="1" x14ac:dyDescent="0.3">
      <c r="A4484" s="35" t="s">
        <v>31</v>
      </c>
      <c r="B4484" s="7" t="s">
        <v>32</v>
      </c>
      <c r="C4484" s="15">
        <v>45474</v>
      </c>
      <c r="D4484" s="35" t="s">
        <v>33</v>
      </c>
      <c r="E4484" s="7" t="s">
        <v>34</v>
      </c>
      <c r="F4484" s="6"/>
    </row>
    <row r="4485" spans="1:6" ht="15.75" thickBot="1" x14ac:dyDescent="0.3">
      <c r="A4485" s="36"/>
      <c r="B4485" s="7" t="s">
        <v>36</v>
      </c>
      <c r="C4485" s="5">
        <f>IF(C4484="","",IF(AND(MONTH(C4484)&gt;=1,MONTH(C4484)&lt;=3),1,IF(AND(MONTH(C4484)&gt;=4,MONTH(C4484)&lt;=6),2,IF(AND(MONTH(C4484)&gt;=7,MONTH(C4484)&lt;=9),3,4))))</f>
        <v>3</v>
      </c>
      <c r="D4485" s="36"/>
      <c r="E4485" s="7" t="s">
        <v>37</v>
      </c>
      <c r="F4485" s="6"/>
    </row>
    <row r="4486" spans="1:6" ht="15.75" thickBot="1" x14ac:dyDescent="0.3">
      <c r="A4486" s="36"/>
      <c r="B4486" s="7" t="s">
        <v>39</v>
      </c>
      <c r="C4486" s="15">
        <v>45565</v>
      </c>
      <c r="D4486" s="36"/>
      <c r="E4486" s="7" t="s">
        <v>40</v>
      </c>
      <c r="F4486" s="6"/>
    </row>
    <row r="4487" spans="1:6" ht="15.75" thickBot="1" x14ac:dyDescent="0.3">
      <c r="A4487" s="36"/>
      <c r="B4487" s="7" t="s">
        <v>36</v>
      </c>
      <c r="C4487" s="5">
        <f>IF(C4486="","",IF(AND(MONTH(C4486)&gt;=1,MONTH(C4486)&lt;=3),1,IF(AND(MONTH(C4486)&gt;=4,MONTH(C4486)&lt;=6),2,IF(AND(MONTH(C4486)&gt;=7,MONTH(C4486)&lt;=9),3,4))))</f>
        <v>3</v>
      </c>
      <c r="D4487" s="36"/>
      <c r="E4487" s="7" t="s">
        <v>41</v>
      </c>
      <c r="F4487" s="6"/>
    </row>
    <row r="4488" spans="1:6" ht="15.75" thickBot="1" x14ac:dyDescent="0.3">
      <c r="A4488" s="40"/>
      <c r="B4488" s="40"/>
      <c r="C4488" s="40"/>
      <c r="D4488" s="40"/>
      <c r="E4488" s="40"/>
      <c r="F4488" s="40"/>
    </row>
    <row r="4489" spans="1:6" ht="15.75" thickBot="1" x14ac:dyDescent="0.3">
      <c r="A4489" s="12" t="s">
        <v>42</v>
      </c>
      <c r="B4489" s="12" t="s">
        <v>43</v>
      </c>
      <c r="C4489" s="12" t="s">
        <v>44</v>
      </c>
      <c r="D4489" s="12" t="s">
        <v>45</v>
      </c>
      <c r="E4489" s="12" t="s">
        <v>46</v>
      </c>
      <c r="F4489" s="12" t="s">
        <v>47</v>
      </c>
    </row>
    <row r="4490" spans="1:6" x14ac:dyDescent="0.25">
      <c r="A4490" s="8">
        <v>82121505</v>
      </c>
      <c r="B4490" s="9" t="str">
        <f ca="1">IFERROR(INDEX(UNSPSCDes,MATCH(INDIRECT(ADDRESS(ROW(),COLUMN()-1,4)),UNSPSCCode,0)),"")</f>
        <v>Impresión promocional o publicitaria</v>
      </c>
      <c r="C4490" s="33" t="s">
        <v>55</v>
      </c>
      <c r="D4490" s="8">
        <v>6</v>
      </c>
      <c r="E4490" s="11">
        <v>20060</v>
      </c>
      <c r="F4490" s="10">
        <f ca="1">INDIRECT(ADDRESS(ROW(),COLUMN()-2,4))*INDIRECT(ADDRESS(ROW(),COLUMN()-1,4))</f>
        <v>120360</v>
      </c>
    </row>
    <row r="4491" spans="1:6" x14ac:dyDescent="0.25">
      <c r="A4491" s="40"/>
      <c r="B4491" s="40"/>
      <c r="C4491" s="40"/>
      <c r="D4491" s="40"/>
      <c r="E4491" s="13" t="s">
        <v>87</v>
      </c>
      <c r="F4491" s="14">
        <f ca="1">SUM(Table386148[MONTO TOTAL ESTIMADO])</f>
        <v>120360</v>
      </c>
    </row>
    <row r="4492" spans="1:6" ht="15.75" thickBot="1" x14ac:dyDescent="0.3">
      <c r="A4492" s="42"/>
      <c r="B4492" s="42"/>
      <c r="C4492" s="42"/>
      <c r="D4492" s="42"/>
      <c r="E4492" s="42"/>
      <c r="F4492" s="42"/>
    </row>
    <row r="4493" spans="1:6" ht="23.25" thickBot="1" x14ac:dyDescent="0.3">
      <c r="A4493" s="4" t="s">
        <v>19</v>
      </c>
      <c r="B4493" s="4" t="s">
        <v>20</v>
      </c>
      <c r="C4493" s="4" t="s">
        <v>21</v>
      </c>
      <c r="D4493" s="4" t="s">
        <v>22</v>
      </c>
      <c r="E4493" s="4" t="s">
        <v>23</v>
      </c>
      <c r="F4493" s="4" t="s">
        <v>24</v>
      </c>
    </row>
    <row r="4494" spans="1:6" ht="15.75" thickBot="1" x14ac:dyDescent="0.3">
      <c r="A4494" s="32" t="s">
        <v>341</v>
      </c>
      <c r="B4494" s="32" t="s">
        <v>342</v>
      </c>
      <c r="C4494" s="32" t="s">
        <v>27</v>
      </c>
      <c r="D4494" s="6" t="s">
        <v>28</v>
      </c>
      <c r="E4494" s="6" t="s">
        <v>262</v>
      </c>
      <c r="F4494" s="6"/>
    </row>
    <row r="4495" spans="1:6" ht="15.75" thickBot="1" x14ac:dyDescent="0.3">
      <c r="A4495" s="35" t="s">
        <v>31</v>
      </c>
      <c r="B4495" s="7" t="s">
        <v>32</v>
      </c>
      <c r="C4495" s="15">
        <v>45474</v>
      </c>
      <c r="D4495" s="35" t="s">
        <v>33</v>
      </c>
      <c r="E4495" s="7" t="s">
        <v>34</v>
      </c>
      <c r="F4495" s="6"/>
    </row>
    <row r="4496" spans="1:6" ht="15.75" thickBot="1" x14ac:dyDescent="0.3">
      <c r="A4496" s="36"/>
      <c r="B4496" s="7" t="s">
        <v>36</v>
      </c>
      <c r="C4496" s="5">
        <f>IF(C4495="","",IF(AND(MONTH(C4495)&gt;=1,MONTH(C4495)&lt;=3),1,IF(AND(MONTH(C4495)&gt;=4,MONTH(C4495)&lt;=6),2,IF(AND(MONTH(C4495)&gt;=7,MONTH(C4495)&lt;=9),3,4))))</f>
        <v>3</v>
      </c>
      <c r="D4496" s="36"/>
      <c r="E4496" s="7" t="s">
        <v>37</v>
      </c>
      <c r="F4496" s="6"/>
    </row>
    <row r="4497" spans="1:6" ht="15.75" thickBot="1" x14ac:dyDescent="0.3">
      <c r="A4497" s="36"/>
      <c r="B4497" s="7" t="s">
        <v>39</v>
      </c>
      <c r="C4497" s="15">
        <v>45565</v>
      </c>
      <c r="D4497" s="36"/>
      <c r="E4497" s="7" t="s">
        <v>40</v>
      </c>
      <c r="F4497" s="6"/>
    </row>
    <row r="4498" spans="1:6" ht="15.75" thickBot="1" x14ac:dyDescent="0.3">
      <c r="A4498" s="36"/>
      <c r="B4498" s="7" t="s">
        <v>36</v>
      </c>
      <c r="C4498" s="5">
        <f>IF(C4497="","",IF(AND(MONTH(C4497)&gt;=1,MONTH(C4497)&lt;=3),1,IF(AND(MONTH(C4497)&gt;=4,MONTH(C4497)&lt;=6),2,IF(AND(MONTH(C4497)&gt;=7,MONTH(C4497)&lt;=9),3,4))))</f>
        <v>3</v>
      </c>
      <c r="D4498" s="36"/>
      <c r="E4498" s="7" t="s">
        <v>41</v>
      </c>
      <c r="F4498" s="6"/>
    </row>
    <row r="4499" spans="1:6" ht="15.75" thickBot="1" x14ac:dyDescent="0.3">
      <c r="A4499" s="40"/>
      <c r="B4499" s="40"/>
      <c r="C4499" s="40"/>
      <c r="D4499" s="40"/>
      <c r="E4499" s="40"/>
      <c r="F4499" s="40"/>
    </row>
    <row r="4500" spans="1:6" ht="15.75" thickBot="1" x14ac:dyDescent="0.3">
      <c r="A4500" s="12" t="s">
        <v>42</v>
      </c>
      <c r="B4500" s="12" t="s">
        <v>43</v>
      </c>
      <c r="C4500" s="12" t="s">
        <v>44</v>
      </c>
      <c r="D4500" s="12" t="s">
        <v>45</v>
      </c>
      <c r="E4500" s="12" t="s">
        <v>46</v>
      </c>
      <c r="F4500" s="12" t="s">
        <v>47</v>
      </c>
    </row>
    <row r="4501" spans="1:6" x14ac:dyDescent="0.25">
      <c r="A4501" s="8">
        <v>50181905</v>
      </c>
      <c r="B4501" s="9" t="str">
        <f ca="1">IFERROR(INDEX(UNSPSCDes,MATCH(INDIRECT(ADDRESS(ROW(),COLUMN()-1,4)),UNSPSCCode,0)),"")</f>
        <v>Galletas de dulce</v>
      </c>
      <c r="C4501" s="33" t="s">
        <v>55</v>
      </c>
      <c r="D4501" s="8">
        <v>5000</v>
      </c>
      <c r="E4501" s="11">
        <v>183.96</v>
      </c>
      <c r="F4501" s="10">
        <f ca="1">INDIRECT(ADDRESS(ROW(),COLUMN()-2,4))*INDIRECT(ADDRESS(ROW(),COLUMN()-1,4))</f>
        <v>919800</v>
      </c>
    </row>
    <row r="4502" spans="1:6" x14ac:dyDescent="0.25">
      <c r="A4502" s="40"/>
      <c r="B4502" s="40"/>
      <c r="C4502" s="40"/>
      <c r="D4502" s="40"/>
      <c r="E4502" s="13" t="s">
        <v>87</v>
      </c>
      <c r="F4502" s="14">
        <f ca="1">SUM(Table387149[MONTO TOTAL ESTIMADO])</f>
        <v>919800</v>
      </c>
    </row>
    <row r="4503" spans="1:6" ht="15.75" thickBot="1" x14ac:dyDescent="0.3">
      <c r="A4503" s="42"/>
      <c r="B4503" s="42"/>
      <c r="C4503" s="42"/>
      <c r="D4503" s="42"/>
      <c r="E4503" s="42"/>
      <c r="F4503" s="42"/>
    </row>
    <row r="4504" spans="1:6" ht="23.25" thickBot="1" x14ac:dyDescent="0.3">
      <c r="A4504" s="4" t="s">
        <v>19</v>
      </c>
      <c r="B4504" s="4" t="s">
        <v>20</v>
      </c>
      <c r="C4504" s="4" t="s">
        <v>21</v>
      </c>
      <c r="D4504" s="4" t="s">
        <v>22</v>
      </c>
      <c r="E4504" s="4" t="s">
        <v>23</v>
      </c>
      <c r="F4504" s="4" t="s">
        <v>24</v>
      </c>
    </row>
    <row r="4505" spans="1:6" ht="15.75" thickBot="1" x14ac:dyDescent="0.3">
      <c r="A4505" s="32" t="s">
        <v>344</v>
      </c>
      <c r="B4505" s="32" t="s">
        <v>345</v>
      </c>
      <c r="C4505" s="32" t="s">
        <v>27</v>
      </c>
      <c r="D4505" s="6" t="s">
        <v>188</v>
      </c>
      <c r="E4505" s="6" t="s">
        <v>262</v>
      </c>
      <c r="F4505" s="6"/>
    </row>
    <row r="4506" spans="1:6" ht="15.75" thickBot="1" x14ac:dyDescent="0.3">
      <c r="A4506" s="35" t="s">
        <v>31</v>
      </c>
      <c r="B4506" s="7" t="s">
        <v>32</v>
      </c>
      <c r="C4506" s="15">
        <v>45474</v>
      </c>
      <c r="D4506" s="35" t="s">
        <v>33</v>
      </c>
      <c r="E4506" s="7" t="s">
        <v>34</v>
      </c>
      <c r="F4506" s="6"/>
    </row>
    <row r="4507" spans="1:6" ht="15.75" thickBot="1" x14ac:dyDescent="0.3">
      <c r="A4507" s="36"/>
      <c r="B4507" s="7" t="s">
        <v>36</v>
      </c>
      <c r="C4507" s="5">
        <f>IF(C4506="","",IF(AND(MONTH(C4506)&gt;=1,MONTH(C4506)&lt;=3),1,IF(AND(MONTH(C4506)&gt;=4,MONTH(C4506)&lt;=6),2,IF(AND(MONTH(C4506)&gt;=7,MONTH(C4506)&lt;=9),3,4))))</f>
        <v>3</v>
      </c>
      <c r="D4507" s="36"/>
      <c r="E4507" s="7" t="s">
        <v>37</v>
      </c>
      <c r="F4507" s="6"/>
    </row>
    <row r="4508" spans="1:6" ht="15.75" thickBot="1" x14ac:dyDescent="0.3">
      <c r="A4508" s="36"/>
      <c r="B4508" s="7" t="s">
        <v>39</v>
      </c>
      <c r="C4508" s="15">
        <v>45565</v>
      </c>
      <c r="D4508" s="36"/>
      <c r="E4508" s="7" t="s">
        <v>40</v>
      </c>
      <c r="F4508" s="6"/>
    </row>
    <row r="4509" spans="1:6" ht="15.75" thickBot="1" x14ac:dyDescent="0.3">
      <c r="A4509" s="36"/>
      <c r="B4509" s="7" t="s">
        <v>36</v>
      </c>
      <c r="C4509" s="5">
        <f>IF(C4508="","",IF(AND(MONTH(C4508)&gt;=1,MONTH(C4508)&lt;=3),1,IF(AND(MONTH(C4508)&gt;=4,MONTH(C4508)&lt;=6),2,IF(AND(MONTH(C4508)&gt;=7,MONTH(C4508)&lt;=9),3,4))))</f>
        <v>3</v>
      </c>
      <c r="D4509" s="36"/>
      <c r="E4509" s="7" t="s">
        <v>41</v>
      </c>
      <c r="F4509" s="6"/>
    </row>
    <row r="4510" spans="1:6" ht="15.75" thickBot="1" x14ac:dyDescent="0.3">
      <c r="A4510" s="40"/>
      <c r="B4510" s="40"/>
      <c r="C4510" s="40"/>
      <c r="D4510" s="40"/>
      <c r="E4510" s="40"/>
      <c r="F4510" s="40"/>
    </row>
    <row r="4511" spans="1:6" ht="15.75" thickBot="1" x14ac:dyDescent="0.3">
      <c r="A4511" s="12" t="s">
        <v>42</v>
      </c>
      <c r="B4511" s="12" t="s">
        <v>43</v>
      </c>
      <c r="C4511" s="12" t="s">
        <v>44</v>
      </c>
      <c r="D4511" s="12" t="s">
        <v>45</v>
      </c>
      <c r="E4511" s="12" t="s">
        <v>46</v>
      </c>
      <c r="F4511" s="12" t="s">
        <v>47</v>
      </c>
    </row>
    <row r="4512" spans="1:6" x14ac:dyDescent="0.25">
      <c r="A4512" s="8">
        <v>45111802</v>
      </c>
      <c r="B4512" s="9" t="str">
        <f ca="1">IFERROR(INDEX(UNSPSCDes,MATCH(INDIRECT(ADDRESS(ROW(),COLUMN()-1,4)),UNSPSCCode,0)),"")</f>
        <v>Soportes para televisiones</v>
      </c>
      <c r="C4512" s="8" t="s">
        <v>55</v>
      </c>
      <c r="D4512" s="8">
        <v>2</v>
      </c>
      <c r="E4512" s="11">
        <v>23895</v>
      </c>
      <c r="F4512" s="10">
        <f ca="1">INDIRECT(ADDRESS(ROW(),COLUMN()-2,4))*INDIRECT(ADDRESS(ROW(),COLUMN()-1,4))</f>
        <v>47790</v>
      </c>
    </row>
    <row r="4513" spans="1:6" x14ac:dyDescent="0.25">
      <c r="A4513" s="8">
        <v>52161505</v>
      </c>
      <c r="B4513" s="9" t="str">
        <f ca="1">IFERROR(INDEX(UNSPSCDes,MATCH(INDIRECT(ADDRESS(ROW(),COLUMN()-1,4)),UNSPSCCode,0)),"")</f>
        <v>Televisores</v>
      </c>
      <c r="C4513" s="33" t="s">
        <v>55</v>
      </c>
      <c r="D4513" s="8">
        <v>2</v>
      </c>
      <c r="E4513" s="11">
        <v>58056</v>
      </c>
      <c r="F4513" s="10">
        <f ca="1">INDIRECT(ADDRESS(ROW(),COLUMN()-2,4))*INDIRECT(ADDRESS(ROW(),COLUMN()-1,4))</f>
        <v>116112</v>
      </c>
    </row>
    <row r="4514" spans="1:6" x14ac:dyDescent="0.25">
      <c r="A4514" s="40"/>
      <c r="B4514" s="40"/>
      <c r="C4514" s="40"/>
      <c r="D4514" s="40"/>
      <c r="E4514" s="13" t="s">
        <v>87</v>
      </c>
      <c r="F4514" s="14">
        <f ca="1">SUM(Table388150[MONTO TOTAL ESTIMADO])</f>
        <v>163902</v>
      </c>
    </row>
    <row r="4515" spans="1:6" ht="15.75" thickBot="1" x14ac:dyDescent="0.3">
      <c r="A4515" s="42"/>
      <c r="B4515" s="42"/>
      <c r="C4515" s="42"/>
      <c r="D4515" s="42"/>
      <c r="E4515" s="42"/>
      <c r="F4515" s="42"/>
    </row>
    <row r="4516" spans="1:6" ht="23.25" thickBot="1" x14ac:dyDescent="0.3">
      <c r="A4516" s="4" t="s">
        <v>19</v>
      </c>
      <c r="B4516" s="4" t="s">
        <v>20</v>
      </c>
      <c r="C4516" s="4" t="s">
        <v>21</v>
      </c>
      <c r="D4516" s="4" t="s">
        <v>22</v>
      </c>
      <c r="E4516" s="4" t="s">
        <v>23</v>
      </c>
      <c r="F4516" s="4" t="s">
        <v>24</v>
      </c>
    </row>
    <row r="4517" spans="1:6" ht="15.75" thickBot="1" x14ac:dyDescent="0.3">
      <c r="A4517" s="32" t="s">
        <v>347</v>
      </c>
      <c r="B4517" s="32" t="s">
        <v>348</v>
      </c>
      <c r="C4517" s="32" t="s">
        <v>27</v>
      </c>
      <c r="D4517" s="6" t="s">
        <v>188</v>
      </c>
      <c r="E4517" s="6" t="s">
        <v>262</v>
      </c>
      <c r="F4517" s="6"/>
    </row>
    <row r="4518" spans="1:6" ht="15.75" thickBot="1" x14ac:dyDescent="0.3">
      <c r="A4518" s="35" t="s">
        <v>31</v>
      </c>
      <c r="B4518" s="7" t="s">
        <v>32</v>
      </c>
      <c r="C4518" s="15">
        <v>45474</v>
      </c>
      <c r="D4518" s="35" t="s">
        <v>33</v>
      </c>
      <c r="E4518" s="7" t="s">
        <v>34</v>
      </c>
      <c r="F4518" s="6"/>
    </row>
    <row r="4519" spans="1:6" ht="15.75" thickBot="1" x14ac:dyDescent="0.3">
      <c r="A4519" s="36"/>
      <c r="B4519" s="7" t="s">
        <v>36</v>
      </c>
      <c r="C4519" s="5">
        <f>IF(C4518="","",IF(AND(MONTH(C4518)&gt;=1,MONTH(C4518)&lt;=3),1,IF(AND(MONTH(C4518)&gt;=4,MONTH(C4518)&lt;=6),2,IF(AND(MONTH(C4518)&gt;=7,MONTH(C4518)&lt;=9),3,4))))</f>
        <v>3</v>
      </c>
      <c r="D4519" s="36"/>
      <c r="E4519" s="7" t="s">
        <v>37</v>
      </c>
      <c r="F4519" s="6"/>
    </row>
    <row r="4520" spans="1:6" ht="15.75" thickBot="1" x14ac:dyDescent="0.3">
      <c r="A4520" s="36"/>
      <c r="B4520" s="7" t="s">
        <v>39</v>
      </c>
      <c r="C4520" s="15">
        <v>45565</v>
      </c>
      <c r="D4520" s="36"/>
      <c r="E4520" s="7" t="s">
        <v>40</v>
      </c>
      <c r="F4520" s="6"/>
    </row>
    <row r="4521" spans="1:6" ht="15.75" thickBot="1" x14ac:dyDescent="0.3">
      <c r="A4521" s="36"/>
      <c r="B4521" s="7" t="s">
        <v>36</v>
      </c>
      <c r="C4521" s="5">
        <f>IF(C4520="","",IF(AND(MONTH(C4520)&gt;=1,MONTH(C4520)&lt;=3),1,IF(AND(MONTH(C4520)&gt;=4,MONTH(C4520)&lt;=6),2,IF(AND(MONTH(C4520)&gt;=7,MONTH(C4520)&lt;=9),3,4))))</f>
        <v>3</v>
      </c>
      <c r="D4521" s="36"/>
      <c r="E4521" s="7" t="s">
        <v>41</v>
      </c>
      <c r="F4521" s="6"/>
    </row>
    <row r="4522" spans="1:6" ht="15.75" thickBot="1" x14ac:dyDescent="0.3">
      <c r="A4522" s="40"/>
      <c r="B4522" s="40"/>
      <c r="C4522" s="40"/>
      <c r="D4522" s="40"/>
      <c r="E4522" s="40"/>
      <c r="F4522" s="40"/>
    </row>
    <row r="4523" spans="1:6" ht="15.75" thickBot="1" x14ac:dyDescent="0.3">
      <c r="A4523" s="12" t="s">
        <v>42</v>
      </c>
      <c r="B4523" s="12" t="s">
        <v>43</v>
      </c>
      <c r="C4523" s="12" t="s">
        <v>44</v>
      </c>
      <c r="D4523" s="12" t="s">
        <v>45</v>
      </c>
      <c r="E4523" s="12" t="s">
        <v>46</v>
      </c>
      <c r="F4523" s="12" t="s">
        <v>47</v>
      </c>
    </row>
    <row r="4524" spans="1:6" x14ac:dyDescent="0.25">
      <c r="A4524" s="8">
        <v>52161509</v>
      </c>
      <c r="B4524" s="9" t="str">
        <f ca="1">IFERROR(INDEX(UNSPSCDes,MATCH(INDIRECT(ADDRESS(ROW(),COLUMN()-1,4)),UNSPSCCode,0)),"")</f>
        <v>Sistemas de estéreo portátiles</v>
      </c>
      <c r="C4524" s="33" t="s">
        <v>55</v>
      </c>
      <c r="D4524" s="8">
        <v>6</v>
      </c>
      <c r="E4524" s="11">
        <v>12980</v>
      </c>
      <c r="F4524" s="10">
        <f ca="1">INDIRECT(ADDRESS(ROW(),COLUMN()-2,4))*INDIRECT(ADDRESS(ROW(),COLUMN()-1,4))</f>
        <v>77880</v>
      </c>
    </row>
    <row r="4525" spans="1:6" x14ac:dyDescent="0.25">
      <c r="A4525" s="40"/>
      <c r="B4525" s="40"/>
      <c r="C4525" s="40"/>
      <c r="D4525" s="40"/>
      <c r="E4525" s="13" t="s">
        <v>87</v>
      </c>
      <c r="F4525" s="14">
        <f ca="1">SUM(Table389151[MONTO TOTAL ESTIMADO])</f>
        <v>77880</v>
      </c>
    </row>
    <row r="4526" spans="1:6" ht="15.75" thickBot="1" x14ac:dyDescent="0.3">
      <c r="A4526" s="42"/>
      <c r="B4526" s="42"/>
      <c r="C4526" s="42"/>
      <c r="D4526" s="42"/>
      <c r="E4526" s="42"/>
      <c r="F4526" s="42"/>
    </row>
    <row r="4527" spans="1:6" ht="23.25" thickBot="1" x14ac:dyDescent="0.3">
      <c r="A4527" s="4" t="s">
        <v>19</v>
      </c>
      <c r="B4527" s="4" t="s">
        <v>20</v>
      </c>
      <c r="C4527" s="4" t="s">
        <v>21</v>
      </c>
      <c r="D4527" s="4" t="s">
        <v>22</v>
      </c>
      <c r="E4527" s="4" t="s">
        <v>23</v>
      </c>
      <c r="F4527" s="4" t="s">
        <v>24</v>
      </c>
    </row>
    <row r="4528" spans="1:6" ht="15.75" thickBot="1" x14ac:dyDescent="0.3">
      <c r="A4528" s="32" t="s">
        <v>350</v>
      </c>
      <c r="B4528" s="32" t="s">
        <v>351</v>
      </c>
      <c r="C4528" s="32" t="s">
        <v>27</v>
      </c>
      <c r="D4528" s="6" t="s">
        <v>188</v>
      </c>
      <c r="E4528" s="6" t="s">
        <v>262</v>
      </c>
      <c r="F4528" s="6"/>
    </row>
    <row r="4529" spans="1:6" ht="15.75" thickBot="1" x14ac:dyDescent="0.3">
      <c r="A4529" s="35" t="s">
        <v>31</v>
      </c>
      <c r="B4529" s="7" t="s">
        <v>32</v>
      </c>
      <c r="C4529" s="15">
        <v>45474</v>
      </c>
      <c r="D4529" s="35" t="s">
        <v>33</v>
      </c>
      <c r="E4529" s="7" t="s">
        <v>34</v>
      </c>
      <c r="F4529" s="6"/>
    </row>
    <row r="4530" spans="1:6" ht="15.75" thickBot="1" x14ac:dyDescent="0.3">
      <c r="A4530" s="36"/>
      <c r="B4530" s="7" t="s">
        <v>36</v>
      </c>
      <c r="C4530" s="5">
        <f>IF(C4529="","",IF(AND(MONTH(C4529)&gt;=1,MONTH(C4529)&lt;=3),1,IF(AND(MONTH(C4529)&gt;=4,MONTH(C4529)&lt;=6),2,IF(AND(MONTH(C4529)&gt;=7,MONTH(C4529)&lt;=9),3,4))))</f>
        <v>3</v>
      </c>
      <c r="D4530" s="36"/>
      <c r="E4530" s="7" t="s">
        <v>37</v>
      </c>
      <c r="F4530" s="6"/>
    </row>
    <row r="4531" spans="1:6" ht="15.75" thickBot="1" x14ac:dyDescent="0.3">
      <c r="A4531" s="36"/>
      <c r="B4531" s="7" t="s">
        <v>39</v>
      </c>
      <c r="C4531" s="15">
        <v>45565</v>
      </c>
      <c r="D4531" s="36"/>
      <c r="E4531" s="7" t="s">
        <v>40</v>
      </c>
      <c r="F4531" s="6"/>
    </row>
    <row r="4532" spans="1:6" ht="15.75" thickBot="1" x14ac:dyDescent="0.3">
      <c r="A4532" s="36"/>
      <c r="B4532" s="7" t="s">
        <v>36</v>
      </c>
      <c r="C4532" s="5">
        <f>IF(C4531="","",IF(AND(MONTH(C4531)&gt;=1,MONTH(C4531)&lt;=3),1,IF(AND(MONTH(C4531)&gt;=4,MONTH(C4531)&lt;=6),2,IF(AND(MONTH(C4531)&gt;=7,MONTH(C4531)&lt;=9),3,4))))</f>
        <v>3</v>
      </c>
      <c r="D4532" s="36"/>
      <c r="E4532" s="7" t="s">
        <v>41</v>
      </c>
      <c r="F4532" s="6"/>
    </row>
    <row r="4533" spans="1:6" ht="15.75" thickBot="1" x14ac:dyDescent="0.3">
      <c r="A4533" s="40"/>
      <c r="B4533" s="40"/>
      <c r="C4533" s="40"/>
      <c r="D4533" s="40"/>
      <c r="E4533" s="40"/>
      <c r="F4533" s="40"/>
    </row>
    <row r="4534" spans="1:6" ht="15.75" thickBot="1" x14ac:dyDescent="0.3">
      <c r="A4534" s="12" t="s">
        <v>42</v>
      </c>
      <c r="B4534" s="12" t="s">
        <v>43</v>
      </c>
      <c r="C4534" s="12" t="s">
        <v>44</v>
      </c>
      <c r="D4534" s="12" t="s">
        <v>45</v>
      </c>
      <c r="E4534" s="12" t="s">
        <v>46</v>
      </c>
      <c r="F4534" s="12" t="s">
        <v>47</v>
      </c>
    </row>
    <row r="4535" spans="1:6" x14ac:dyDescent="0.25">
      <c r="A4535" s="8">
        <v>52121701</v>
      </c>
      <c r="B4535" s="9" t="str">
        <f ca="1">IFERROR(INDEX(UNSPSCDes,MATCH(INDIRECT(ADDRESS(ROW(),COLUMN()-1,4)),UNSPSCCode,0)),"")</f>
        <v>Toallas de baño</v>
      </c>
      <c r="C4535" s="33" t="s">
        <v>55</v>
      </c>
      <c r="D4535" s="8">
        <v>500</v>
      </c>
      <c r="E4535" s="11">
        <v>2950</v>
      </c>
      <c r="F4535" s="10">
        <f ca="1">INDIRECT(ADDRESS(ROW(),COLUMN()-2,4))*INDIRECT(ADDRESS(ROW(),COLUMN()-1,4))</f>
        <v>1475000</v>
      </c>
    </row>
    <row r="4536" spans="1:6" x14ac:dyDescent="0.25">
      <c r="A4536" s="40"/>
      <c r="B4536" s="40"/>
      <c r="C4536" s="40"/>
      <c r="D4536" s="40"/>
      <c r="E4536" s="13" t="s">
        <v>87</v>
      </c>
      <c r="F4536" s="14">
        <f ca="1">SUM(Table390152[MONTO TOTAL ESTIMADO])</f>
        <v>1475000</v>
      </c>
    </row>
    <row r="4537" spans="1:6" ht="15.75" thickBot="1" x14ac:dyDescent="0.3">
      <c r="A4537" s="42"/>
      <c r="B4537" s="42"/>
      <c r="C4537" s="42"/>
      <c r="D4537" s="42"/>
      <c r="E4537" s="42"/>
      <c r="F4537" s="42"/>
    </row>
    <row r="4538" spans="1:6" ht="23.25" thickBot="1" x14ac:dyDescent="0.3">
      <c r="A4538" s="4" t="s">
        <v>19</v>
      </c>
      <c r="B4538" s="4" t="s">
        <v>20</v>
      </c>
      <c r="C4538" s="4" t="s">
        <v>21</v>
      </c>
      <c r="D4538" s="4" t="s">
        <v>22</v>
      </c>
      <c r="E4538" s="4" t="s">
        <v>23</v>
      </c>
      <c r="F4538" s="4" t="s">
        <v>24</v>
      </c>
    </row>
    <row r="4539" spans="1:6" ht="15.75" thickBot="1" x14ac:dyDescent="0.3">
      <c r="A4539" s="32" t="s">
        <v>353</v>
      </c>
      <c r="B4539" s="32" t="s">
        <v>354</v>
      </c>
      <c r="C4539" s="32" t="s">
        <v>129</v>
      </c>
      <c r="D4539" s="6" t="s">
        <v>28</v>
      </c>
      <c r="E4539" s="6" t="s">
        <v>262</v>
      </c>
      <c r="F4539" s="6"/>
    </row>
    <row r="4540" spans="1:6" ht="15.75" thickBot="1" x14ac:dyDescent="0.3">
      <c r="A4540" s="35" t="s">
        <v>31</v>
      </c>
      <c r="B4540" s="7" t="s">
        <v>32</v>
      </c>
      <c r="C4540" s="15">
        <v>45474</v>
      </c>
      <c r="D4540" s="35" t="s">
        <v>33</v>
      </c>
      <c r="E4540" s="7" t="s">
        <v>34</v>
      </c>
      <c r="F4540" s="6"/>
    </row>
    <row r="4541" spans="1:6" ht="15.75" thickBot="1" x14ac:dyDescent="0.3">
      <c r="A4541" s="36"/>
      <c r="B4541" s="7" t="s">
        <v>36</v>
      </c>
      <c r="C4541" s="5">
        <f>IF(C4540="","",IF(AND(MONTH(C4540)&gt;=1,MONTH(C4540)&lt;=3),1,IF(AND(MONTH(C4540)&gt;=4,MONTH(C4540)&lt;=6),2,IF(AND(MONTH(C4540)&gt;=7,MONTH(C4540)&lt;=9),3,4))))</f>
        <v>3</v>
      </c>
      <c r="D4541" s="36"/>
      <c r="E4541" s="7" t="s">
        <v>37</v>
      </c>
      <c r="F4541" s="6"/>
    </row>
    <row r="4542" spans="1:6" ht="15.75" thickBot="1" x14ac:dyDescent="0.3">
      <c r="A4542" s="36"/>
      <c r="B4542" s="7" t="s">
        <v>39</v>
      </c>
      <c r="C4542" s="15">
        <v>45565</v>
      </c>
      <c r="D4542" s="36"/>
      <c r="E4542" s="7" t="s">
        <v>40</v>
      </c>
      <c r="F4542" s="6"/>
    </row>
    <row r="4543" spans="1:6" ht="15.75" thickBot="1" x14ac:dyDescent="0.3">
      <c r="A4543" s="36"/>
      <c r="B4543" s="7" t="s">
        <v>36</v>
      </c>
      <c r="C4543" s="5">
        <f>IF(C4542="","",IF(AND(MONTH(C4542)&gt;=1,MONTH(C4542)&lt;=3),1,IF(AND(MONTH(C4542)&gt;=4,MONTH(C4542)&lt;=6),2,IF(AND(MONTH(C4542)&gt;=7,MONTH(C4542)&lt;=9),3,4))))</f>
        <v>3</v>
      </c>
      <c r="D4543" s="36"/>
      <c r="E4543" s="7" t="s">
        <v>41</v>
      </c>
      <c r="F4543" s="6"/>
    </row>
    <row r="4544" spans="1:6" ht="15.75" thickBot="1" x14ac:dyDescent="0.3">
      <c r="A4544" s="40"/>
      <c r="B4544" s="40"/>
      <c r="C4544" s="40"/>
      <c r="D4544" s="40"/>
      <c r="E4544" s="40"/>
      <c r="F4544" s="40"/>
    </row>
    <row r="4545" spans="1:6" ht="15.75" thickBot="1" x14ac:dyDescent="0.3">
      <c r="A4545" s="12" t="s">
        <v>42</v>
      </c>
      <c r="B4545" s="12" t="s">
        <v>43</v>
      </c>
      <c r="C4545" s="12" t="s">
        <v>44</v>
      </c>
      <c r="D4545" s="12" t="s">
        <v>45</v>
      </c>
      <c r="E4545" s="12" t="s">
        <v>46</v>
      </c>
      <c r="F4545" s="12" t="s">
        <v>47</v>
      </c>
    </row>
    <row r="4546" spans="1:6" x14ac:dyDescent="0.25">
      <c r="A4546" s="8">
        <v>15101505</v>
      </c>
      <c r="B4546" s="9" t="str">
        <f ca="1">IFERROR(INDEX(UNSPSCDes,MATCH(INDIRECT(ADDRESS(ROW(),COLUMN()-1,4)),UNSPSCCode,0)),"")</f>
        <v>Combustible diesel</v>
      </c>
      <c r="C4546" s="8" t="s">
        <v>92</v>
      </c>
      <c r="D4546" s="8">
        <v>1000</v>
      </c>
      <c r="E4546" s="11">
        <v>293.10000000000002</v>
      </c>
      <c r="F4546" s="10">
        <f ca="1">INDIRECT(ADDRESS(ROW(),COLUMN()-2,4))*INDIRECT(ADDRESS(ROW(),COLUMN()-1,4))</f>
        <v>293100</v>
      </c>
    </row>
    <row r="4547" spans="1:6" x14ac:dyDescent="0.25">
      <c r="A4547" s="40"/>
      <c r="B4547" s="40"/>
      <c r="C4547" s="40"/>
      <c r="D4547" s="40"/>
      <c r="E4547" s="13" t="s">
        <v>87</v>
      </c>
      <c r="F4547" s="14">
        <f ca="1">SUM(Table391153[MONTO TOTAL ESTIMADO])</f>
        <v>293100</v>
      </c>
    </row>
    <row r="4548" spans="1:6" ht="15.75" thickBot="1" x14ac:dyDescent="0.3">
      <c r="A4548" s="42"/>
      <c r="B4548" s="42"/>
      <c r="C4548" s="42"/>
      <c r="D4548" s="42"/>
      <c r="E4548" s="42"/>
      <c r="F4548" s="42"/>
    </row>
    <row r="4549" spans="1:6" ht="23.25" thickBot="1" x14ac:dyDescent="0.3">
      <c r="A4549" s="4" t="s">
        <v>19</v>
      </c>
      <c r="B4549" s="4" t="s">
        <v>20</v>
      </c>
      <c r="C4549" s="4" t="s">
        <v>21</v>
      </c>
      <c r="D4549" s="4" t="s">
        <v>22</v>
      </c>
      <c r="E4549" s="4" t="s">
        <v>23</v>
      </c>
      <c r="F4549" s="4" t="s">
        <v>24</v>
      </c>
    </row>
    <row r="4550" spans="1:6" ht="15.75" thickBot="1" x14ac:dyDescent="0.3">
      <c r="A4550" s="32" t="s">
        <v>355</v>
      </c>
      <c r="B4550" s="32" t="s">
        <v>356</v>
      </c>
      <c r="C4550" s="32" t="s">
        <v>27</v>
      </c>
      <c r="D4550" s="6" t="s">
        <v>28</v>
      </c>
      <c r="E4550" s="32" t="s">
        <v>29</v>
      </c>
      <c r="F4550" s="6"/>
    </row>
    <row r="4551" spans="1:6" ht="15.75" thickBot="1" x14ac:dyDescent="0.3">
      <c r="A4551" s="35" t="s">
        <v>31</v>
      </c>
      <c r="B4551" s="7" t="s">
        <v>32</v>
      </c>
      <c r="C4551" s="15">
        <v>45474</v>
      </c>
      <c r="D4551" s="35" t="s">
        <v>33</v>
      </c>
      <c r="E4551" s="7" t="s">
        <v>34</v>
      </c>
      <c r="F4551" s="6"/>
    </row>
    <row r="4552" spans="1:6" ht="15.75" thickBot="1" x14ac:dyDescent="0.3">
      <c r="A4552" s="36"/>
      <c r="B4552" s="7" t="s">
        <v>36</v>
      </c>
      <c r="C4552" s="5">
        <f>IF(C4551="","",IF(AND(MONTH(C4551)&gt;=1,MONTH(C4551)&lt;=3),1,IF(AND(MONTH(C4551)&gt;=4,MONTH(C4551)&lt;=6),2,IF(AND(MONTH(C4551)&gt;=7,MONTH(C4551)&lt;=9),3,4))))</f>
        <v>3</v>
      </c>
      <c r="D4552" s="36"/>
      <c r="E4552" s="7" t="s">
        <v>37</v>
      </c>
      <c r="F4552" s="6"/>
    </row>
    <row r="4553" spans="1:6" ht="15.75" thickBot="1" x14ac:dyDescent="0.3">
      <c r="A4553" s="36"/>
      <c r="B4553" s="7" t="s">
        <v>39</v>
      </c>
      <c r="C4553" s="15">
        <v>45565</v>
      </c>
      <c r="D4553" s="36"/>
      <c r="E4553" s="7" t="s">
        <v>40</v>
      </c>
      <c r="F4553" s="6"/>
    </row>
    <row r="4554" spans="1:6" ht="15.75" thickBot="1" x14ac:dyDescent="0.3">
      <c r="A4554" s="36"/>
      <c r="B4554" s="7" t="s">
        <v>36</v>
      </c>
      <c r="C4554" s="5">
        <f>IF(C4553="","",IF(AND(MONTH(C4553)&gt;=1,MONTH(C4553)&lt;=3),1,IF(AND(MONTH(C4553)&gt;=4,MONTH(C4553)&lt;=6),2,IF(AND(MONTH(C4553)&gt;=7,MONTH(C4553)&lt;=9),3,4))))</f>
        <v>3</v>
      </c>
      <c r="D4554" s="36"/>
      <c r="E4554" s="7" t="s">
        <v>41</v>
      </c>
      <c r="F4554" s="6"/>
    </row>
    <row r="4555" spans="1:6" ht="15.75" thickBot="1" x14ac:dyDescent="0.3">
      <c r="A4555" s="40"/>
      <c r="B4555" s="40"/>
      <c r="C4555" s="40"/>
      <c r="D4555" s="40"/>
      <c r="E4555" s="40"/>
      <c r="F4555" s="40"/>
    </row>
    <row r="4556" spans="1:6" ht="15.75" thickBot="1" x14ac:dyDescent="0.3">
      <c r="A4556" s="12" t="s">
        <v>42</v>
      </c>
      <c r="B4556" s="12" t="s">
        <v>43</v>
      </c>
      <c r="C4556" s="12" t="s">
        <v>44</v>
      </c>
      <c r="D4556" s="12" t="s">
        <v>45</v>
      </c>
      <c r="E4556" s="12" t="s">
        <v>46</v>
      </c>
      <c r="F4556" s="12" t="s">
        <v>47</v>
      </c>
    </row>
    <row r="4557" spans="1:6" x14ac:dyDescent="0.25">
      <c r="A4557" s="8">
        <v>26121607</v>
      </c>
      <c r="B4557" s="9" t="str">
        <f t="shared" ref="B4557:B4572" ca="1" si="68">IFERROR(INDEX(UNSPSCDes,MATCH(INDIRECT(ADDRESS(ROW(),COLUMN()-1,4)),UNSPSCCode,0)),"")</f>
        <v>Cable de fibra óptica</v>
      </c>
      <c r="C4557" s="8" t="s">
        <v>55</v>
      </c>
      <c r="D4557" s="8">
        <v>4</v>
      </c>
      <c r="E4557" s="11">
        <v>17582</v>
      </c>
      <c r="F4557" s="10">
        <f t="shared" ref="F4557:F4572" ca="1" si="69">INDIRECT(ADDRESS(ROW(),COLUMN()-2,4))*INDIRECT(ADDRESS(ROW(),COLUMN()-1,4))</f>
        <v>70328</v>
      </c>
    </row>
    <row r="4558" spans="1:6" x14ac:dyDescent="0.25">
      <c r="A4558" s="8">
        <v>26121607</v>
      </c>
      <c r="B4558" s="9" t="str">
        <f t="shared" ca="1" si="68"/>
        <v>Cable de fibra óptica</v>
      </c>
      <c r="C4558" s="33" t="s">
        <v>55</v>
      </c>
      <c r="D4558" s="8">
        <v>20</v>
      </c>
      <c r="E4558" s="11">
        <v>1888</v>
      </c>
      <c r="F4558" s="10">
        <f t="shared" ca="1" si="69"/>
        <v>37760</v>
      </c>
    </row>
    <row r="4559" spans="1:6" x14ac:dyDescent="0.25">
      <c r="A4559" s="8">
        <v>26121607</v>
      </c>
      <c r="B4559" s="9" t="str">
        <f t="shared" ca="1" si="68"/>
        <v>Cable de fibra óptica</v>
      </c>
      <c r="C4559" s="33" t="s">
        <v>55</v>
      </c>
      <c r="D4559" s="8">
        <v>12</v>
      </c>
      <c r="E4559" s="11">
        <v>2360</v>
      </c>
      <c r="F4559" s="10">
        <f t="shared" ca="1" si="69"/>
        <v>28320</v>
      </c>
    </row>
    <row r="4560" spans="1:6" x14ac:dyDescent="0.25">
      <c r="A4560" s="8">
        <v>43201553</v>
      </c>
      <c r="B4560" s="9" t="str">
        <f t="shared" ca="1" si="68"/>
        <v>Convertidores de transceptores y medios</v>
      </c>
      <c r="C4560" s="33" t="s">
        <v>55</v>
      </c>
      <c r="D4560" s="8">
        <v>16</v>
      </c>
      <c r="E4560" s="11">
        <v>20768</v>
      </c>
      <c r="F4560" s="10">
        <f t="shared" ca="1" si="69"/>
        <v>332288</v>
      </c>
    </row>
    <row r="4561" spans="1:6" x14ac:dyDescent="0.25">
      <c r="A4561" s="8">
        <v>43201553</v>
      </c>
      <c r="B4561" s="9" t="str">
        <f t="shared" ca="1" si="68"/>
        <v>Convertidores de transceptores y medios</v>
      </c>
      <c r="C4561" s="33" t="s">
        <v>55</v>
      </c>
      <c r="D4561" s="8">
        <v>16</v>
      </c>
      <c r="E4561" s="11">
        <v>7670</v>
      </c>
      <c r="F4561" s="10">
        <f t="shared" ca="1" si="69"/>
        <v>122720</v>
      </c>
    </row>
    <row r="4562" spans="1:6" x14ac:dyDescent="0.25">
      <c r="A4562" s="8">
        <v>26121609</v>
      </c>
      <c r="B4562" s="9" t="str">
        <f t="shared" ca="1" si="68"/>
        <v>Cable de redes</v>
      </c>
      <c r="C4562" s="33" t="s">
        <v>55</v>
      </c>
      <c r="D4562" s="8">
        <v>22</v>
      </c>
      <c r="E4562" s="11">
        <v>5015</v>
      </c>
      <c r="F4562" s="10">
        <f t="shared" ca="1" si="69"/>
        <v>110330</v>
      </c>
    </row>
    <row r="4563" spans="1:6" x14ac:dyDescent="0.25">
      <c r="A4563" s="8">
        <v>26121609</v>
      </c>
      <c r="B4563" s="9" t="str">
        <f t="shared" ca="1" si="68"/>
        <v>Cable de redes</v>
      </c>
      <c r="C4563" s="33" t="s">
        <v>55</v>
      </c>
      <c r="D4563" s="8">
        <v>20</v>
      </c>
      <c r="E4563" s="11">
        <v>2891</v>
      </c>
      <c r="F4563" s="10">
        <f t="shared" ca="1" si="69"/>
        <v>57820</v>
      </c>
    </row>
    <row r="4564" spans="1:6" x14ac:dyDescent="0.25">
      <c r="A4564" s="8">
        <v>47121602</v>
      </c>
      <c r="B4564" s="9" t="str">
        <f t="shared" ca="1" si="68"/>
        <v>Aspiradoras</v>
      </c>
      <c r="C4564" s="33" t="s">
        <v>55</v>
      </c>
      <c r="D4564" s="8">
        <v>2</v>
      </c>
      <c r="E4564" s="11">
        <v>12862</v>
      </c>
      <c r="F4564" s="10">
        <f t="shared" ca="1" si="69"/>
        <v>25724</v>
      </c>
    </row>
    <row r="4565" spans="1:6" x14ac:dyDescent="0.25">
      <c r="A4565" s="8">
        <v>43201807</v>
      </c>
      <c r="B4565" s="9" t="str">
        <f t="shared" ca="1" si="68"/>
        <v>Unidades de cintas</v>
      </c>
      <c r="C4565" s="33" t="s">
        <v>55</v>
      </c>
      <c r="D4565" s="8">
        <v>32</v>
      </c>
      <c r="E4565" s="11">
        <v>5369</v>
      </c>
      <c r="F4565" s="10">
        <f t="shared" ca="1" si="69"/>
        <v>171808</v>
      </c>
    </row>
    <row r="4566" spans="1:6" x14ac:dyDescent="0.25">
      <c r="A4566" s="8">
        <v>43201404</v>
      </c>
      <c r="B4566" s="9" t="str">
        <f t="shared" ca="1" si="68"/>
        <v>Tarjetas de interface de red</v>
      </c>
      <c r="C4566" s="33" t="s">
        <v>55</v>
      </c>
      <c r="D4566" s="8">
        <v>2</v>
      </c>
      <c r="E4566" s="11">
        <v>23434.799999999999</v>
      </c>
      <c r="F4566" s="10">
        <f t="shared" ca="1" si="69"/>
        <v>46869.599999999999</v>
      </c>
    </row>
    <row r="4567" spans="1:6" x14ac:dyDescent="0.25">
      <c r="A4567" s="8">
        <v>43201404</v>
      </c>
      <c r="B4567" s="9" t="str">
        <f t="shared" ca="1" si="68"/>
        <v>Tarjetas de interface de red</v>
      </c>
      <c r="C4567" s="33" t="s">
        <v>55</v>
      </c>
      <c r="D4567" s="8">
        <v>1</v>
      </c>
      <c r="E4567" s="11">
        <v>17700</v>
      </c>
      <c r="F4567" s="10">
        <f t="shared" ca="1" si="69"/>
        <v>17700</v>
      </c>
    </row>
    <row r="4568" spans="1:6" x14ac:dyDescent="0.25">
      <c r="A4568" s="8">
        <v>39121011</v>
      </c>
      <c r="B4568" s="9" t="str">
        <f t="shared" ca="1" si="68"/>
        <v>Fuentes ininterrumpibles de potencia</v>
      </c>
      <c r="C4568" s="33" t="s">
        <v>55</v>
      </c>
      <c r="D4568" s="8">
        <v>2</v>
      </c>
      <c r="E4568" s="11">
        <v>36462</v>
      </c>
      <c r="F4568" s="10">
        <f t="shared" ca="1" si="69"/>
        <v>72924</v>
      </c>
    </row>
    <row r="4569" spans="1:6" x14ac:dyDescent="0.25">
      <c r="A4569" s="8">
        <v>39121702</v>
      </c>
      <c r="B4569" s="9" t="str">
        <f t="shared" ca="1" si="68"/>
        <v>Clips para cables</v>
      </c>
      <c r="C4569" s="33" t="s">
        <v>55</v>
      </c>
      <c r="D4569" s="8">
        <v>2</v>
      </c>
      <c r="E4569" s="11">
        <v>20001</v>
      </c>
      <c r="F4569" s="10">
        <f t="shared" ca="1" si="69"/>
        <v>40002</v>
      </c>
    </row>
    <row r="4570" spans="1:6" x14ac:dyDescent="0.25">
      <c r="A4570" s="8">
        <v>43201538</v>
      </c>
      <c r="B4570" s="9" t="str">
        <f t="shared" ca="1" si="68"/>
        <v>Enfriadores de unidades de procesamiento central</v>
      </c>
      <c r="C4570" s="33" t="s">
        <v>55</v>
      </c>
      <c r="D4570" s="8">
        <v>3</v>
      </c>
      <c r="E4570" s="11">
        <v>7670</v>
      </c>
      <c r="F4570" s="10">
        <f t="shared" ca="1" si="69"/>
        <v>23010</v>
      </c>
    </row>
    <row r="4571" spans="1:6" x14ac:dyDescent="0.25">
      <c r="A4571" s="8">
        <v>43201552</v>
      </c>
      <c r="B4571" s="9" t="str">
        <f t="shared" ca="1" si="68"/>
        <v>Adaptadores para hardware o telefonía</v>
      </c>
      <c r="C4571" s="33" t="s">
        <v>55</v>
      </c>
      <c r="D4571" s="8">
        <v>10</v>
      </c>
      <c r="E4571" s="11">
        <v>2271.5</v>
      </c>
      <c r="F4571" s="10">
        <f t="shared" ca="1" si="69"/>
        <v>22715</v>
      </c>
    </row>
    <row r="4572" spans="1:6" x14ac:dyDescent="0.25">
      <c r="A4572" s="8">
        <v>43201802</v>
      </c>
      <c r="B4572" s="9" t="str">
        <f t="shared" ca="1" si="68"/>
        <v>Series de disco duro</v>
      </c>
      <c r="C4572" s="33" t="s">
        <v>55</v>
      </c>
      <c r="D4572" s="8">
        <v>4</v>
      </c>
      <c r="E4572" s="11">
        <v>18850.5</v>
      </c>
      <c r="F4572" s="10">
        <f t="shared" ca="1" si="69"/>
        <v>75402</v>
      </c>
    </row>
    <row r="4573" spans="1:6" x14ac:dyDescent="0.25">
      <c r="A4573" s="40"/>
      <c r="B4573" s="40"/>
      <c r="C4573" s="40"/>
      <c r="D4573" s="40"/>
      <c r="E4573" s="13" t="s">
        <v>87</v>
      </c>
      <c r="F4573" s="14">
        <f ca="1">SUM(Table392154[MONTO TOTAL ESTIMADO])</f>
        <v>1255720.6000000001</v>
      </c>
    </row>
    <row r="4574" spans="1:6" ht="15.75" thickBot="1" x14ac:dyDescent="0.3">
      <c r="A4574" s="42"/>
      <c r="B4574" s="42"/>
      <c r="C4574" s="42"/>
      <c r="D4574" s="42"/>
      <c r="E4574" s="42"/>
      <c r="F4574" s="42"/>
    </row>
    <row r="4575" spans="1:6" ht="23.25" thickBot="1" x14ac:dyDescent="0.3">
      <c r="A4575" s="4" t="s">
        <v>19</v>
      </c>
      <c r="B4575" s="4" t="s">
        <v>20</v>
      </c>
      <c r="C4575" s="4" t="s">
        <v>21</v>
      </c>
      <c r="D4575" s="4" t="s">
        <v>22</v>
      </c>
      <c r="E4575" s="4" t="s">
        <v>23</v>
      </c>
      <c r="F4575" s="4" t="s">
        <v>24</v>
      </c>
    </row>
    <row r="4576" spans="1:6" ht="15.75" thickBot="1" x14ac:dyDescent="0.3">
      <c r="A4576" s="32" t="s">
        <v>368</v>
      </c>
      <c r="B4576" s="32" t="s">
        <v>369</v>
      </c>
      <c r="C4576" s="32" t="s">
        <v>27</v>
      </c>
      <c r="D4576" s="6" t="s">
        <v>28</v>
      </c>
      <c r="E4576" s="6" t="s">
        <v>262</v>
      </c>
      <c r="F4576" s="6"/>
    </row>
    <row r="4577" spans="1:6" ht="15.75" thickBot="1" x14ac:dyDescent="0.3">
      <c r="A4577" s="35" t="s">
        <v>31</v>
      </c>
      <c r="B4577" s="7" t="s">
        <v>32</v>
      </c>
      <c r="C4577" s="15">
        <v>45474</v>
      </c>
      <c r="D4577" s="35" t="s">
        <v>33</v>
      </c>
      <c r="E4577" s="7" t="s">
        <v>34</v>
      </c>
      <c r="F4577" s="6"/>
    </row>
    <row r="4578" spans="1:6" ht="15.75" thickBot="1" x14ac:dyDescent="0.3">
      <c r="A4578" s="36"/>
      <c r="B4578" s="7" t="s">
        <v>36</v>
      </c>
      <c r="C4578" s="5">
        <f>IF(C4577="","",IF(AND(MONTH(C4577)&gt;=1,MONTH(C4577)&lt;=3),1,IF(AND(MONTH(C4577)&gt;=4,MONTH(C4577)&lt;=6),2,IF(AND(MONTH(C4577)&gt;=7,MONTH(C4577)&lt;=9),3,4))))</f>
        <v>3</v>
      </c>
      <c r="D4578" s="36"/>
      <c r="E4578" s="7" t="s">
        <v>37</v>
      </c>
      <c r="F4578" s="6"/>
    </row>
    <row r="4579" spans="1:6" ht="15.75" thickBot="1" x14ac:dyDescent="0.3">
      <c r="A4579" s="36"/>
      <c r="B4579" s="7" t="s">
        <v>39</v>
      </c>
      <c r="C4579" s="15">
        <v>45565</v>
      </c>
      <c r="D4579" s="36"/>
      <c r="E4579" s="7" t="s">
        <v>40</v>
      </c>
      <c r="F4579" s="6"/>
    </row>
    <row r="4580" spans="1:6" ht="15.75" thickBot="1" x14ac:dyDescent="0.3">
      <c r="A4580" s="36"/>
      <c r="B4580" s="7" t="s">
        <v>36</v>
      </c>
      <c r="C4580" s="5">
        <f>IF(C4579="","",IF(AND(MONTH(C4579)&gt;=1,MONTH(C4579)&lt;=3),1,IF(AND(MONTH(C4579)&gt;=4,MONTH(C4579)&lt;=6),2,IF(AND(MONTH(C4579)&gt;=7,MONTH(C4579)&lt;=9),3,4))))</f>
        <v>3</v>
      </c>
      <c r="D4580" s="36"/>
      <c r="E4580" s="7" t="s">
        <v>41</v>
      </c>
      <c r="F4580" s="6"/>
    </row>
    <row r="4581" spans="1:6" ht="15.75" thickBot="1" x14ac:dyDescent="0.3">
      <c r="A4581" s="40"/>
      <c r="B4581" s="40"/>
      <c r="C4581" s="40"/>
      <c r="D4581" s="40"/>
      <c r="E4581" s="40"/>
      <c r="F4581" s="40"/>
    </row>
    <row r="4582" spans="1:6" ht="15.75" thickBot="1" x14ac:dyDescent="0.3">
      <c r="A4582" s="12" t="s">
        <v>42</v>
      </c>
      <c r="B4582" s="12" t="s">
        <v>43</v>
      </c>
      <c r="C4582" s="12" t="s">
        <v>44</v>
      </c>
      <c r="D4582" s="12" t="s">
        <v>45</v>
      </c>
      <c r="E4582" s="12" t="s">
        <v>46</v>
      </c>
      <c r="F4582" s="12" t="s">
        <v>47</v>
      </c>
    </row>
    <row r="4583" spans="1:6" x14ac:dyDescent="0.25">
      <c r="A4583" s="8">
        <v>44122003</v>
      </c>
      <c r="B4583" s="9" t="str">
        <f t="shared" ref="B4583:B4593" ca="1" si="70">IFERROR(INDEX(UNSPSCDes,MATCH(INDIRECT(ADDRESS(ROW(),COLUMN()-1,4)),UNSPSCCode,0)),"")</f>
        <v>Carpetas</v>
      </c>
      <c r="C4583" s="33" t="s">
        <v>55</v>
      </c>
      <c r="D4583" s="8">
        <v>200</v>
      </c>
      <c r="E4583" s="11">
        <v>185</v>
      </c>
      <c r="F4583" s="10">
        <f t="shared" ref="F4583:F4593" ca="1" si="71">INDIRECT(ADDRESS(ROW(),COLUMN()-2,4))*INDIRECT(ADDRESS(ROW(),COLUMN()-1,4))</f>
        <v>37000</v>
      </c>
    </row>
    <row r="4584" spans="1:6" x14ac:dyDescent="0.25">
      <c r="A4584" s="8">
        <v>44122003</v>
      </c>
      <c r="B4584" s="9" t="str">
        <f t="shared" ca="1" si="70"/>
        <v>Carpetas</v>
      </c>
      <c r="C4584" s="33" t="s">
        <v>55</v>
      </c>
      <c r="D4584" s="8">
        <v>200</v>
      </c>
      <c r="E4584" s="11">
        <v>275</v>
      </c>
      <c r="F4584" s="10">
        <f t="shared" ca="1" si="71"/>
        <v>55000</v>
      </c>
    </row>
    <row r="4585" spans="1:6" x14ac:dyDescent="0.25">
      <c r="A4585" s="8">
        <v>44122003</v>
      </c>
      <c r="B4585" s="9" t="str">
        <f t="shared" ca="1" si="70"/>
        <v>Carpetas</v>
      </c>
      <c r="C4585" s="33" t="s">
        <v>55</v>
      </c>
      <c r="D4585" s="8">
        <v>200</v>
      </c>
      <c r="E4585" s="11">
        <v>422</v>
      </c>
      <c r="F4585" s="10">
        <f t="shared" ca="1" si="71"/>
        <v>84400</v>
      </c>
    </row>
    <row r="4586" spans="1:6" x14ac:dyDescent="0.25">
      <c r="A4586" s="8">
        <v>44122002</v>
      </c>
      <c r="B4586" s="9" t="str">
        <f t="shared" ca="1" si="70"/>
        <v>Protectores de hojas</v>
      </c>
      <c r="C4586" s="8" t="s">
        <v>49</v>
      </c>
      <c r="D4586" s="8">
        <v>500</v>
      </c>
      <c r="E4586" s="11">
        <v>350</v>
      </c>
      <c r="F4586" s="10">
        <f t="shared" ca="1" si="71"/>
        <v>175000</v>
      </c>
    </row>
    <row r="4587" spans="1:6" x14ac:dyDescent="0.25">
      <c r="A4587" s="8">
        <v>44122022</v>
      </c>
      <c r="B4587" s="9" t="str">
        <f t="shared" ca="1" si="70"/>
        <v>Accesorios de carpetas de folders</v>
      </c>
      <c r="C4587" s="33" t="s">
        <v>55</v>
      </c>
      <c r="D4587" s="8">
        <v>500</v>
      </c>
      <c r="E4587" s="11">
        <v>15</v>
      </c>
      <c r="F4587" s="10">
        <f t="shared" ca="1" si="71"/>
        <v>7500</v>
      </c>
    </row>
    <row r="4588" spans="1:6" x14ac:dyDescent="0.25">
      <c r="A4588" s="8">
        <v>44122012</v>
      </c>
      <c r="B4588" s="9" t="str">
        <f t="shared" ca="1" si="70"/>
        <v>Portapapeles</v>
      </c>
      <c r="C4588" s="33" t="s">
        <v>55</v>
      </c>
      <c r="D4588" s="8">
        <v>200</v>
      </c>
      <c r="E4588" s="11">
        <v>250</v>
      </c>
      <c r="F4588" s="10">
        <f t="shared" ca="1" si="71"/>
        <v>50000</v>
      </c>
    </row>
    <row r="4589" spans="1:6" x14ac:dyDescent="0.25">
      <c r="A4589" s="8">
        <v>44122011</v>
      </c>
      <c r="B4589" s="9" t="str">
        <f t="shared" ca="1" si="70"/>
        <v>Folders</v>
      </c>
      <c r="C4589" s="33" t="s">
        <v>49</v>
      </c>
      <c r="D4589" s="8">
        <v>200</v>
      </c>
      <c r="E4589" s="11">
        <v>577.61</v>
      </c>
      <c r="F4589" s="10">
        <f t="shared" ca="1" si="71"/>
        <v>115522</v>
      </c>
    </row>
    <row r="4590" spans="1:6" x14ac:dyDescent="0.25">
      <c r="A4590" s="8">
        <v>44122011</v>
      </c>
      <c r="B4590" s="9" t="str">
        <f t="shared" ca="1" si="70"/>
        <v>Folders</v>
      </c>
      <c r="C4590" s="33" t="s">
        <v>49</v>
      </c>
      <c r="D4590" s="8">
        <v>450</v>
      </c>
      <c r="E4590" s="11">
        <v>250</v>
      </c>
      <c r="F4590" s="10">
        <f t="shared" ca="1" si="71"/>
        <v>112500</v>
      </c>
    </row>
    <row r="4591" spans="1:6" x14ac:dyDescent="0.25">
      <c r="A4591" s="8">
        <v>44122027</v>
      </c>
      <c r="B4591" s="9" t="str">
        <f t="shared" ca="1" si="70"/>
        <v>Folders de archivo expandibles</v>
      </c>
      <c r="C4591" s="33" t="s">
        <v>49</v>
      </c>
      <c r="D4591" s="8">
        <v>25</v>
      </c>
      <c r="E4591" s="11">
        <v>1155.8699999999999</v>
      </c>
      <c r="F4591" s="10">
        <f t="shared" ca="1" si="71"/>
        <v>28896.749999999996</v>
      </c>
    </row>
    <row r="4592" spans="1:6" x14ac:dyDescent="0.25">
      <c r="A4592" s="8">
        <v>44122013</v>
      </c>
      <c r="B4592" s="9" t="str">
        <f t="shared" ca="1" si="70"/>
        <v>Cubiertas para informes</v>
      </c>
      <c r="C4592" s="33" t="s">
        <v>49</v>
      </c>
      <c r="D4592" s="8">
        <v>50</v>
      </c>
      <c r="E4592" s="11">
        <v>650</v>
      </c>
      <c r="F4592" s="10">
        <f t="shared" ca="1" si="71"/>
        <v>32500</v>
      </c>
    </row>
    <row r="4593" spans="1:6" x14ac:dyDescent="0.25">
      <c r="A4593" s="8">
        <v>44122011</v>
      </c>
      <c r="B4593" s="9" t="str">
        <f t="shared" ca="1" si="70"/>
        <v>Folders</v>
      </c>
      <c r="C4593" s="33" t="s">
        <v>49</v>
      </c>
      <c r="D4593" s="8">
        <v>25</v>
      </c>
      <c r="E4593" s="11">
        <v>2000</v>
      </c>
      <c r="F4593" s="10">
        <f t="shared" ca="1" si="71"/>
        <v>50000</v>
      </c>
    </row>
    <row r="4594" spans="1:6" x14ac:dyDescent="0.25">
      <c r="A4594" s="40"/>
      <c r="B4594" s="40"/>
      <c r="C4594" s="40"/>
      <c r="D4594" s="40"/>
      <c r="E4594" s="13" t="s">
        <v>87</v>
      </c>
      <c r="F4594" s="14">
        <f ca="1">SUM(Table393155[MONTO TOTAL ESTIMADO])</f>
        <v>748318.75</v>
      </c>
    </row>
    <row r="4595" spans="1:6" ht="15.75" thickBot="1" x14ac:dyDescent="0.3">
      <c r="A4595" s="42"/>
      <c r="B4595" s="42"/>
      <c r="C4595" s="42"/>
      <c r="D4595" s="42"/>
      <c r="E4595" s="42"/>
      <c r="F4595" s="42"/>
    </row>
    <row r="4596" spans="1:6" ht="23.25" thickBot="1" x14ac:dyDescent="0.3">
      <c r="A4596" s="4" t="s">
        <v>19</v>
      </c>
      <c r="B4596" s="4" t="s">
        <v>20</v>
      </c>
      <c r="C4596" s="4" t="s">
        <v>21</v>
      </c>
      <c r="D4596" s="4" t="s">
        <v>22</v>
      </c>
      <c r="E4596" s="4" t="s">
        <v>23</v>
      </c>
      <c r="F4596" s="4" t="s">
        <v>24</v>
      </c>
    </row>
    <row r="4597" spans="1:6" ht="15.75" thickBot="1" x14ac:dyDescent="0.3">
      <c r="A4597" s="32" t="s">
        <v>373</v>
      </c>
      <c r="B4597" s="32" t="s">
        <v>374</v>
      </c>
      <c r="C4597" s="32" t="s">
        <v>129</v>
      </c>
      <c r="D4597" s="6" t="s">
        <v>28</v>
      </c>
      <c r="E4597" s="6" t="s">
        <v>262</v>
      </c>
      <c r="F4597" s="6"/>
    </row>
    <row r="4598" spans="1:6" ht="15.75" thickBot="1" x14ac:dyDescent="0.3">
      <c r="A4598" s="35" t="s">
        <v>31</v>
      </c>
      <c r="B4598" s="7" t="s">
        <v>32</v>
      </c>
      <c r="C4598" s="15">
        <v>45474</v>
      </c>
      <c r="D4598" s="35" t="s">
        <v>33</v>
      </c>
      <c r="E4598" s="7" t="s">
        <v>34</v>
      </c>
      <c r="F4598" s="6"/>
    </row>
    <row r="4599" spans="1:6" ht="15.75" thickBot="1" x14ac:dyDescent="0.3">
      <c r="A4599" s="36"/>
      <c r="B4599" s="7" t="s">
        <v>36</v>
      </c>
      <c r="C4599" s="5">
        <f>IF(C4598="","",IF(AND(MONTH(C4598)&gt;=1,MONTH(C4598)&lt;=3),1,IF(AND(MONTH(C4598)&gt;=4,MONTH(C4598)&lt;=6),2,IF(AND(MONTH(C4598)&gt;=7,MONTH(C4598)&lt;=9),3,4))))</f>
        <v>3</v>
      </c>
      <c r="D4599" s="36"/>
      <c r="E4599" s="7" t="s">
        <v>37</v>
      </c>
      <c r="F4599" s="6"/>
    </row>
    <row r="4600" spans="1:6" ht="15.75" thickBot="1" x14ac:dyDescent="0.3">
      <c r="A4600" s="36"/>
      <c r="B4600" s="7" t="s">
        <v>39</v>
      </c>
      <c r="C4600" s="15">
        <v>45565</v>
      </c>
      <c r="D4600" s="36"/>
      <c r="E4600" s="7" t="s">
        <v>40</v>
      </c>
      <c r="F4600" s="6"/>
    </row>
    <row r="4601" spans="1:6" ht="15.75" thickBot="1" x14ac:dyDescent="0.3">
      <c r="A4601" s="36"/>
      <c r="B4601" s="7" t="s">
        <v>36</v>
      </c>
      <c r="C4601" s="5">
        <f>IF(C4600="","",IF(AND(MONTH(C4600)&gt;=1,MONTH(C4600)&lt;=3),1,IF(AND(MONTH(C4600)&gt;=4,MONTH(C4600)&lt;=6),2,IF(AND(MONTH(C4600)&gt;=7,MONTH(C4600)&lt;=9),3,4))))</f>
        <v>3</v>
      </c>
      <c r="D4601" s="36"/>
      <c r="E4601" s="7" t="s">
        <v>41</v>
      </c>
      <c r="F4601" s="6"/>
    </row>
    <row r="4602" spans="1:6" ht="15.75" thickBot="1" x14ac:dyDescent="0.3">
      <c r="A4602" s="40"/>
      <c r="B4602" s="40"/>
      <c r="C4602" s="40"/>
      <c r="D4602" s="40"/>
      <c r="E4602" s="40"/>
      <c r="F4602" s="40"/>
    </row>
    <row r="4603" spans="1:6" ht="15.75" thickBot="1" x14ac:dyDescent="0.3">
      <c r="A4603" s="12" t="s">
        <v>42</v>
      </c>
      <c r="B4603" s="12" t="s">
        <v>43</v>
      </c>
      <c r="C4603" s="12" t="s">
        <v>44</v>
      </c>
      <c r="D4603" s="12" t="s">
        <v>45</v>
      </c>
      <c r="E4603" s="12" t="s">
        <v>46</v>
      </c>
      <c r="F4603" s="12" t="s">
        <v>47</v>
      </c>
    </row>
    <row r="4604" spans="1:6" x14ac:dyDescent="0.25">
      <c r="A4604" s="8">
        <v>72101607</v>
      </c>
      <c r="B4604" s="9" t="str">
        <f ca="1">IFERROR(INDEX(UNSPSCDes,MATCH(INDIRECT(ADDRESS(ROW(),COLUMN()-1,4)),UNSPSCCode,0)),"")</f>
        <v>Instalación o reparación de paredes</v>
      </c>
      <c r="C4604" s="8" t="s">
        <v>55</v>
      </c>
      <c r="D4604" s="8">
        <v>1</v>
      </c>
      <c r="E4604" s="11">
        <v>850000</v>
      </c>
      <c r="F4604" s="10">
        <f ca="1">INDIRECT(ADDRESS(ROW(),COLUMN()-2,4))*INDIRECT(ADDRESS(ROW(),COLUMN()-1,4))</f>
        <v>850000</v>
      </c>
    </row>
    <row r="4605" spans="1:6" x14ac:dyDescent="0.25">
      <c r="A4605" s="8">
        <v>72102004</v>
      </c>
      <c r="B4605" s="9" t="str">
        <f ca="1">IFERROR(INDEX(UNSPSCDes,MATCH(INDIRECT(ADDRESS(ROW(),COLUMN()-1,4)),UNSPSCCode,0)),"")</f>
        <v>Impermeabilización</v>
      </c>
      <c r="C4605" s="8" t="s">
        <v>55</v>
      </c>
      <c r="D4605" s="8">
        <v>1</v>
      </c>
      <c r="E4605" s="11">
        <v>850000</v>
      </c>
      <c r="F4605" s="10">
        <f ca="1">INDIRECT(ADDRESS(ROW(),COLUMN()-2,4))*INDIRECT(ADDRESS(ROW(),COLUMN()-1,4))</f>
        <v>850000</v>
      </c>
    </row>
    <row r="4606" spans="1:6" x14ac:dyDescent="0.25">
      <c r="A4606" s="40"/>
      <c r="B4606" s="40"/>
      <c r="C4606" s="40"/>
      <c r="D4606" s="40"/>
      <c r="E4606" s="13" t="s">
        <v>87</v>
      </c>
      <c r="F4606" s="14">
        <f ca="1">SUM(Table394156[MONTO TOTAL ESTIMADO])</f>
        <v>1700000</v>
      </c>
    </row>
    <row r="4607" spans="1:6" ht="15.75" thickBot="1" x14ac:dyDescent="0.3">
      <c r="A4607" s="42"/>
      <c r="B4607" s="42"/>
      <c r="C4607" s="42"/>
      <c r="D4607" s="42"/>
      <c r="E4607" s="42"/>
      <c r="F4607" s="42"/>
    </row>
    <row r="4608" spans="1:6" ht="23.25" thickBot="1" x14ac:dyDescent="0.3">
      <c r="A4608" s="4" t="s">
        <v>19</v>
      </c>
      <c r="B4608" s="4" t="s">
        <v>20</v>
      </c>
      <c r="C4608" s="4" t="s">
        <v>21</v>
      </c>
      <c r="D4608" s="4" t="s">
        <v>22</v>
      </c>
      <c r="E4608" s="4" t="s">
        <v>23</v>
      </c>
      <c r="F4608" s="4" t="s">
        <v>24</v>
      </c>
    </row>
    <row r="4609" spans="1:6" ht="15.75" thickBot="1" x14ac:dyDescent="0.3">
      <c r="A4609" s="32" t="s">
        <v>377</v>
      </c>
      <c r="B4609" s="32" t="s">
        <v>378</v>
      </c>
      <c r="C4609" s="32" t="s">
        <v>129</v>
      </c>
      <c r="D4609" s="6" t="s">
        <v>28</v>
      </c>
      <c r="E4609" s="6" t="s">
        <v>262</v>
      </c>
      <c r="F4609" s="6"/>
    </row>
    <row r="4610" spans="1:6" ht="15.75" thickBot="1" x14ac:dyDescent="0.3">
      <c r="A4610" s="35" t="s">
        <v>31</v>
      </c>
      <c r="B4610" s="7" t="s">
        <v>32</v>
      </c>
      <c r="C4610" s="15">
        <v>45474</v>
      </c>
      <c r="D4610" s="35" t="s">
        <v>33</v>
      </c>
      <c r="E4610" s="7" t="s">
        <v>34</v>
      </c>
      <c r="F4610" s="6"/>
    </row>
    <row r="4611" spans="1:6" ht="15.75" thickBot="1" x14ac:dyDescent="0.3">
      <c r="A4611" s="36"/>
      <c r="B4611" s="7" t="s">
        <v>36</v>
      </c>
      <c r="C4611" s="5">
        <f>IF(C4610="","",IF(AND(MONTH(C4610)&gt;=1,MONTH(C4610)&lt;=3),1,IF(AND(MONTH(C4610)&gt;=4,MONTH(C4610)&lt;=6),2,IF(AND(MONTH(C4610)&gt;=7,MONTH(C4610)&lt;=9),3,4))))</f>
        <v>3</v>
      </c>
      <c r="D4611" s="36"/>
      <c r="E4611" s="7" t="s">
        <v>37</v>
      </c>
      <c r="F4611" s="6"/>
    </row>
    <row r="4612" spans="1:6" ht="15.75" thickBot="1" x14ac:dyDescent="0.3">
      <c r="A4612" s="36"/>
      <c r="B4612" s="7" t="s">
        <v>39</v>
      </c>
      <c r="C4612" s="15">
        <v>45565</v>
      </c>
      <c r="D4612" s="36"/>
      <c r="E4612" s="7" t="s">
        <v>40</v>
      </c>
      <c r="F4612" s="6"/>
    </row>
    <row r="4613" spans="1:6" ht="15.75" thickBot="1" x14ac:dyDescent="0.3">
      <c r="A4613" s="36"/>
      <c r="B4613" s="7" t="s">
        <v>36</v>
      </c>
      <c r="C4613" s="5">
        <f>IF(C4612="","",IF(AND(MONTH(C4612)&gt;=1,MONTH(C4612)&lt;=3),1,IF(AND(MONTH(C4612)&gt;=4,MONTH(C4612)&lt;=6),2,IF(AND(MONTH(C4612)&gt;=7,MONTH(C4612)&lt;=9),3,4))))</f>
        <v>3</v>
      </c>
      <c r="D4613" s="36"/>
      <c r="E4613" s="7" t="s">
        <v>41</v>
      </c>
      <c r="F4613" s="6"/>
    </row>
    <row r="4614" spans="1:6" ht="15.75" thickBot="1" x14ac:dyDescent="0.3">
      <c r="A4614" s="40"/>
      <c r="B4614" s="40"/>
      <c r="C4614" s="40"/>
      <c r="D4614" s="40"/>
      <c r="E4614" s="40"/>
      <c r="F4614" s="40"/>
    </row>
    <row r="4615" spans="1:6" ht="15.75" thickBot="1" x14ac:dyDescent="0.3">
      <c r="A4615" s="12" t="s">
        <v>42</v>
      </c>
      <c r="B4615" s="12" t="s">
        <v>43</v>
      </c>
      <c r="C4615" s="12" t="s">
        <v>44</v>
      </c>
      <c r="D4615" s="12" t="s">
        <v>45</v>
      </c>
      <c r="E4615" s="12" t="s">
        <v>46</v>
      </c>
      <c r="F4615" s="12" t="s">
        <v>47</v>
      </c>
    </row>
    <row r="4616" spans="1:6" x14ac:dyDescent="0.25">
      <c r="A4616" s="8">
        <v>72101510</v>
      </c>
      <c r="B4616" s="9" t="str">
        <f ca="1">IFERROR(INDEX(UNSPSCDes,MATCH(INDIRECT(ADDRESS(ROW(),COLUMN()-1,4)),UNSPSCCode,0)),"")</f>
        <v>Mantenimiento o reparación del sistema de plomería</v>
      </c>
      <c r="C4616" s="8" t="s">
        <v>55</v>
      </c>
      <c r="D4616" s="8">
        <v>1</v>
      </c>
      <c r="E4616" s="11">
        <v>450000</v>
      </c>
      <c r="F4616" s="10">
        <f ca="1">INDIRECT(ADDRESS(ROW(),COLUMN()-2,4))*INDIRECT(ADDRESS(ROW(),COLUMN()-1,4))</f>
        <v>450000</v>
      </c>
    </row>
    <row r="4617" spans="1:6" x14ac:dyDescent="0.25">
      <c r="A4617" s="8">
        <v>72102201</v>
      </c>
      <c r="B4617" s="9" t="str">
        <f ca="1">IFERROR(INDEX(UNSPSCDes,MATCH(INDIRECT(ADDRESS(ROW(),COLUMN()-1,4)),UNSPSCCode,0)),"")</f>
        <v>Instalación o servicio de sistemas de energía eléctrica</v>
      </c>
      <c r="C4617" s="33" t="s">
        <v>55</v>
      </c>
      <c r="D4617" s="8">
        <v>1</v>
      </c>
      <c r="E4617" s="11">
        <v>550000</v>
      </c>
      <c r="F4617" s="10">
        <f ca="1">INDIRECT(ADDRESS(ROW(),COLUMN()-2,4))*INDIRECT(ADDRESS(ROW(),COLUMN()-1,4))</f>
        <v>550000</v>
      </c>
    </row>
    <row r="4618" spans="1:6" x14ac:dyDescent="0.25">
      <c r="A4618" s="40"/>
      <c r="B4618" s="40"/>
      <c r="C4618" s="40"/>
      <c r="D4618" s="40"/>
      <c r="E4618" s="13" t="s">
        <v>87</v>
      </c>
      <c r="F4618" s="14">
        <f ca="1">SUM(Table395157[MONTO TOTAL ESTIMADO])</f>
        <v>1000000</v>
      </c>
    </row>
    <row r="4619" spans="1:6" ht="15.75" thickBot="1" x14ac:dyDescent="0.3">
      <c r="A4619" s="42"/>
      <c r="B4619" s="42"/>
      <c r="C4619" s="42"/>
      <c r="D4619" s="42"/>
      <c r="E4619" s="42"/>
      <c r="F4619" s="42"/>
    </row>
    <row r="4620" spans="1:6" ht="23.25" thickBot="1" x14ac:dyDescent="0.3">
      <c r="A4620" s="4" t="s">
        <v>19</v>
      </c>
      <c r="B4620" s="4" t="s">
        <v>20</v>
      </c>
      <c r="C4620" s="4" t="s">
        <v>21</v>
      </c>
      <c r="D4620" s="4" t="s">
        <v>22</v>
      </c>
      <c r="E4620" s="4" t="s">
        <v>23</v>
      </c>
      <c r="F4620" s="4" t="s">
        <v>24</v>
      </c>
    </row>
    <row r="4621" spans="1:6" ht="15.75" thickBot="1" x14ac:dyDescent="0.3">
      <c r="A4621" s="32" t="s">
        <v>381</v>
      </c>
      <c r="B4621" s="32" t="s">
        <v>382</v>
      </c>
      <c r="C4621" s="32" t="s">
        <v>27</v>
      </c>
      <c r="D4621" s="6" t="s">
        <v>28</v>
      </c>
      <c r="E4621" s="6" t="s">
        <v>262</v>
      </c>
      <c r="F4621" s="6"/>
    </row>
    <row r="4622" spans="1:6" ht="15.75" thickBot="1" x14ac:dyDescent="0.3">
      <c r="A4622" s="35" t="s">
        <v>31</v>
      </c>
      <c r="B4622" s="7" t="s">
        <v>32</v>
      </c>
      <c r="C4622" s="15">
        <v>45474</v>
      </c>
      <c r="D4622" s="35" t="s">
        <v>33</v>
      </c>
      <c r="E4622" s="7" t="s">
        <v>34</v>
      </c>
      <c r="F4622" s="6"/>
    </row>
    <row r="4623" spans="1:6" ht="15.75" thickBot="1" x14ac:dyDescent="0.3">
      <c r="A4623" s="36"/>
      <c r="B4623" s="7" t="s">
        <v>36</v>
      </c>
      <c r="C4623" s="5">
        <f>IF(C4622="","",IF(AND(MONTH(C4622)&gt;=1,MONTH(C4622)&lt;=3),1,IF(AND(MONTH(C4622)&gt;=4,MONTH(C4622)&lt;=6),2,IF(AND(MONTH(C4622)&gt;=7,MONTH(C4622)&lt;=9),3,4))))</f>
        <v>3</v>
      </c>
      <c r="D4623" s="36"/>
      <c r="E4623" s="7" t="s">
        <v>37</v>
      </c>
      <c r="F4623" s="6"/>
    </row>
    <row r="4624" spans="1:6" ht="15.75" thickBot="1" x14ac:dyDescent="0.3">
      <c r="A4624" s="36"/>
      <c r="B4624" s="7" t="s">
        <v>39</v>
      </c>
      <c r="C4624" s="15">
        <v>45565</v>
      </c>
      <c r="D4624" s="36"/>
      <c r="E4624" s="7" t="s">
        <v>40</v>
      </c>
      <c r="F4624" s="6"/>
    </row>
    <row r="4625" spans="1:6" ht="15.75" thickBot="1" x14ac:dyDescent="0.3">
      <c r="A4625" s="36"/>
      <c r="B4625" s="7" t="s">
        <v>36</v>
      </c>
      <c r="C4625" s="5">
        <f>IF(C4624="","",IF(AND(MONTH(C4624)&gt;=1,MONTH(C4624)&lt;=3),1,IF(AND(MONTH(C4624)&gt;=4,MONTH(C4624)&lt;=6),2,IF(AND(MONTH(C4624)&gt;=7,MONTH(C4624)&lt;=9),3,4))))</f>
        <v>3</v>
      </c>
      <c r="D4625" s="36"/>
      <c r="E4625" s="7" t="s">
        <v>41</v>
      </c>
      <c r="F4625" s="6"/>
    </row>
    <row r="4626" spans="1:6" ht="15.75" thickBot="1" x14ac:dyDescent="0.3">
      <c r="A4626" s="40"/>
      <c r="B4626" s="40"/>
      <c r="C4626" s="40"/>
      <c r="D4626" s="40"/>
      <c r="E4626" s="40"/>
      <c r="F4626" s="40"/>
    </row>
    <row r="4627" spans="1:6" ht="15.75" thickBot="1" x14ac:dyDescent="0.3">
      <c r="A4627" s="12" t="s">
        <v>42</v>
      </c>
      <c r="B4627" s="12" t="s">
        <v>43</v>
      </c>
      <c r="C4627" s="12" t="s">
        <v>44</v>
      </c>
      <c r="D4627" s="12" t="s">
        <v>45</v>
      </c>
      <c r="E4627" s="12" t="s">
        <v>46</v>
      </c>
      <c r="F4627" s="12" t="s">
        <v>47</v>
      </c>
    </row>
    <row r="4628" spans="1:6" x14ac:dyDescent="0.25">
      <c r="A4628" s="8">
        <v>53102516</v>
      </c>
      <c r="B4628" s="9" t="str">
        <f ca="1">IFERROR(INDEX(UNSPSCDes,MATCH(INDIRECT(ADDRESS(ROW(),COLUMN()-1,4)),UNSPSCCode,0)),"")</f>
        <v>Gorras</v>
      </c>
      <c r="C4628" s="8" t="s">
        <v>55</v>
      </c>
      <c r="D4628" s="8">
        <v>5000</v>
      </c>
      <c r="E4628" s="11">
        <v>340</v>
      </c>
      <c r="F4628" s="10">
        <f ca="1">INDIRECT(ADDRESS(ROW(),COLUMN()-2,4))*INDIRECT(ADDRESS(ROW(),COLUMN()-1,4))</f>
        <v>1700000</v>
      </c>
    </row>
    <row r="4629" spans="1:6" x14ac:dyDescent="0.25">
      <c r="A4629" s="40"/>
      <c r="B4629" s="40"/>
      <c r="C4629" s="40"/>
      <c r="D4629" s="40"/>
      <c r="E4629" s="13" t="s">
        <v>87</v>
      </c>
      <c r="F4629" s="14">
        <f ca="1">SUM(Table396158[MONTO TOTAL ESTIMADO])</f>
        <v>1700000</v>
      </c>
    </row>
    <row r="4630" spans="1:6" ht="15.75" thickBot="1" x14ac:dyDescent="0.3">
      <c r="A4630" s="42"/>
      <c r="B4630" s="42"/>
      <c r="C4630" s="42"/>
      <c r="D4630" s="42"/>
      <c r="E4630" s="42"/>
      <c r="F4630" s="42"/>
    </row>
    <row r="4631" spans="1:6" ht="23.25" thickBot="1" x14ac:dyDescent="0.3">
      <c r="A4631" s="4" t="s">
        <v>19</v>
      </c>
      <c r="B4631" s="4" t="s">
        <v>20</v>
      </c>
      <c r="C4631" s="4" t="s">
        <v>21</v>
      </c>
      <c r="D4631" s="4" t="s">
        <v>22</v>
      </c>
      <c r="E4631" s="4" t="s">
        <v>23</v>
      </c>
      <c r="F4631" s="4" t="s">
        <v>24</v>
      </c>
    </row>
    <row r="4632" spans="1:6" ht="15.75" thickBot="1" x14ac:dyDescent="0.3">
      <c r="A4632" s="32" t="s">
        <v>383</v>
      </c>
      <c r="B4632" s="32" t="s">
        <v>384</v>
      </c>
      <c r="C4632" s="32" t="s">
        <v>27</v>
      </c>
      <c r="D4632" s="6" t="s">
        <v>28</v>
      </c>
      <c r="E4632" s="6" t="s">
        <v>262</v>
      </c>
      <c r="F4632" s="6"/>
    </row>
    <row r="4633" spans="1:6" ht="15.75" thickBot="1" x14ac:dyDescent="0.3">
      <c r="A4633" s="35" t="s">
        <v>31</v>
      </c>
      <c r="B4633" s="7" t="s">
        <v>32</v>
      </c>
      <c r="C4633" s="15">
        <v>45474</v>
      </c>
      <c r="D4633" s="35" t="s">
        <v>33</v>
      </c>
      <c r="E4633" s="7" t="s">
        <v>34</v>
      </c>
      <c r="F4633" s="6"/>
    </row>
    <row r="4634" spans="1:6" ht="15.75" thickBot="1" x14ac:dyDescent="0.3">
      <c r="A4634" s="36"/>
      <c r="B4634" s="7" t="s">
        <v>36</v>
      </c>
      <c r="C4634" s="5">
        <f>IF(C4633="","",IF(AND(MONTH(C4633)&gt;=1,MONTH(C4633)&lt;=3),1,IF(AND(MONTH(C4633)&gt;=4,MONTH(C4633)&lt;=6),2,IF(AND(MONTH(C4633)&gt;=7,MONTH(C4633)&lt;=9),3,4))))</f>
        <v>3</v>
      </c>
      <c r="D4634" s="36"/>
      <c r="E4634" s="7" t="s">
        <v>37</v>
      </c>
      <c r="F4634" s="6"/>
    </row>
    <row r="4635" spans="1:6" ht="15.75" thickBot="1" x14ac:dyDescent="0.3">
      <c r="A4635" s="36"/>
      <c r="B4635" s="7" t="s">
        <v>39</v>
      </c>
      <c r="C4635" s="15">
        <v>45565</v>
      </c>
      <c r="D4635" s="36"/>
      <c r="E4635" s="7" t="s">
        <v>40</v>
      </c>
      <c r="F4635" s="6"/>
    </row>
    <row r="4636" spans="1:6" ht="15.75" thickBot="1" x14ac:dyDescent="0.3">
      <c r="A4636" s="36"/>
      <c r="B4636" s="7" t="s">
        <v>36</v>
      </c>
      <c r="C4636" s="5">
        <f>IF(C4635="","",IF(AND(MONTH(C4635)&gt;=1,MONTH(C4635)&lt;=3),1,IF(AND(MONTH(C4635)&gt;=4,MONTH(C4635)&lt;=6),2,IF(AND(MONTH(C4635)&gt;=7,MONTH(C4635)&lt;=9),3,4))))</f>
        <v>3</v>
      </c>
      <c r="D4636" s="36"/>
      <c r="E4636" s="7" t="s">
        <v>41</v>
      </c>
      <c r="F4636" s="6"/>
    </row>
    <row r="4637" spans="1:6" ht="15.75" thickBot="1" x14ac:dyDescent="0.3">
      <c r="A4637" s="40"/>
      <c r="B4637" s="40"/>
      <c r="C4637" s="40"/>
      <c r="D4637" s="40"/>
      <c r="E4637" s="40"/>
      <c r="F4637" s="40"/>
    </row>
    <row r="4638" spans="1:6" ht="15.75" thickBot="1" x14ac:dyDescent="0.3">
      <c r="A4638" s="12" t="s">
        <v>42</v>
      </c>
      <c r="B4638" s="12" t="s">
        <v>43</v>
      </c>
      <c r="C4638" s="12" t="s">
        <v>44</v>
      </c>
      <c r="D4638" s="12" t="s">
        <v>45</v>
      </c>
      <c r="E4638" s="12" t="s">
        <v>46</v>
      </c>
      <c r="F4638" s="12" t="s">
        <v>47</v>
      </c>
    </row>
    <row r="4639" spans="1:6" x14ac:dyDescent="0.25">
      <c r="A4639" s="8">
        <v>53103001</v>
      </c>
      <c r="B4639" s="9" t="str">
        <f ca="1">IFERROR(INDEX(UNSPSCDes,MATCH(INDIRECT(ADDRESS(ROW(),COLUMN()-1,4)),UNSPSCCode,0)),"")</f>
        <v>Camisetas (t-shirts)</v>
      </c>
      <c r="C4639" s="33" t="s">
        <v>55</v>
      </c>
      <c r="D4639" s="8">
        <v>5000</v>
      </c>
      <c r="E4639" s="11">
        <v>340</v>
      </c>
      <c r="F4639" s="10">
        <f ca="1">INDIRECT(ADDRESS(ROW(),COLUMN()-2,4))*INDIRECT(ADDRESS(ROW(),COLUMN()-1,4))</f>
        <v>1700000</v>
      </c>
    </row>
    <row r="4640" spans="1:6" x14ac:dyDescent="0.25">
      <c r="A4640" s="40"/>
      <c r="B4640" s="40"/>
      <c r="C4640" s="40"/>
      <c r="D4640" s="40"/>
      <c r="E4640" s="13" t="s">
        <v>87</v>
      </c>
      <c r="F4640" s="14">
        <f ca="1">SUM(Table397159[MONTO TOTAL ESTIMADO])</f>
        <v>1700000</v>
      </c>
    </row>
    <row r="4641" spans="1:6" ht="15.75" thickBot="1" x14ac:dyDescent="0.3">
      <c r="A4641" s="42"/>
      <c r="B4641" s="42"/>
      <c r="C4641" s="42"/>
      <c r="D4641" s="42"/>
      <c r="E4641" s="42"/>
      <c r="F4641" s="42"/>
    </row>
    <row r="4642" spans="1:6" ht="23.25" thickBot="1" x14ac:dyDescent="0.3">
      <c r="A4642" s="4" t="s">
        <v>19</v>
      </c>
      <c r="B4642" s="4" t="s">
        <v>20</v>
      </c>
      <c r="C4642" s="4" t="s">
        <v>21</v>
      </c>
      <c r="D4642" s="4" t="s">
        <v>22</v>
      </c>
      <c r="E4642" s="4" t="s">
        <v>23</v>
      </c>
      <c r="F4642" s="4" t="s">
        <v>24</v>
      </c>
    </row>
    <row r="4643" spans="1:6" ht="15.75" thickBot="1" x14ac:dyDescent="0.3">
      <c r="A4643" s="32" t="s">
        <v>385</v>
      </c>
      <c r="B4643" s="32" t="s">
        <v>386</v>
      </c>
      <c r="C4643" s="32" t="s">
        <v>27</v>
      </c>
      <c r="D4643" s="6" t="s">
        <v>28</v>
      </c>
      <c r="E4643" s="6" t="s">
        <v>262</v>
      </c>
      <c r="F4643" s="6"/>
    </row>
    <row r="4644" spans="1:6" ht="15.75" thickBot="1" x14ac:dyDescent="0.3">
      <c r="A4644" s="35" t="s">
        <v>31</v>
      </c>
      <c r="B4644" s="7" t="s">
        <v>32</v>
      </c>
      <c r="C4644" s="15">
        <v>45474</v>
      </c>
      <c r="D4644" s="35" t="s">
        <v>33</v>
      </c>
      <c r="E4644" s="7" t="s">
        <v>34</v>
      </c>
      <c r="F4644" s="6"/>
    </row>
    <row r="4645" spans="1:6" ht="15.75" thickBot="1" x14ac:dyDescent="0.3">
      <c r="A4645" s="36"/>
      <c r="B4645" s="7" t="s">
        <v>36</v>
      </c>
      <c r="C4645" s="5">
        <f>IF(C4644="","",IF(AND(MONTH(C4644)&gt;=1,MONTH(C4644)&lt;=3),1,IF(AND(MONTH(C4644)&gt;=4,MONTH(C4644)&lt;=6),2,IF(AND(MONTH(C4644)&gt;=7,MONTH(C4644)&lt;=9),3,4))))</f>
        <v>3</v>
      </c>
      <c r="D4645" s="36"/>
      <c r="E4645" s="7" t="s">
        <v>37</v>
      </c>
      <c r="F4645" s="6"/>
    </row>
    <row r="4646" spans="1:6" ht="15.75" thickBot="1" x14ac:dyDescent="0.3">
      <c r="A4646" s="36"/>
      <c r="B4646" s="7" t="s">
        <v>39</v>
      </c>
      <c r="C4646" s="15">
        <v>45565</v>
      </c>
      <c r="D4646" s="36"/>
      <c r="E4646" s="7" t="s">
        <v>40</v>
      </c>
      <c r="F4646" s="6"/>
    </row>
    <row r="4647" spans="1:6" ht="15.75" thickBot="1" x14ac:dyDescent="0.3">
      <c r="A4647" s="36"/>
      <c r="B4647" s="7" t="s">
        <v>36</v>
      </c>
      <c r="C4647" s="5">
        <f>IF(C4646="","",IF(AND(MONTH(C4646)&gt;=1,MONTH(C4646)&lt;=3),1,IF(AND(MONTH(C4646)&gt;=4,MONTH(C4646)&lt;=6),2,IF(AND(MONTH(C4646)&gt;=7,MONTH(C4646)&lt;=9),3,4))))</f>
        <v>3</v>
      </c>
      <c r="D4647" s="36"/>
      <c r="E4647" s="7" t="s">
        <v>41</v>
      </c>
      <c r="F4647" s="6"/>
    </row>
    <row r="4648" spans="1:6" ht="15.75" thickBot="1" x14ac:dyDescent="0.3">
      <c r="A4648" s="40"/>
      <c r="B4648" s="40"/>
      <c r="C4648" s="40"/>
      <c r="D4648" s="40"/>
      <c r="E4648" s="40"/>
      <c r="F4648" s="40"/>
    </row>
    <row r="4649" spans="1:6" ht="15.75" thickBot="1" x14ac:dyDescent="0.3">
      <c r="A4649" s="12" t="s">
        <v>42</v>
      </c>
      <c r="B4649" s="12" t="s">
        <v>43</v>
      </c>
      <c r="C4649" s="12" t="s">
        <v>44</v>
      </c>
      <c r="D4649" s="12" t="s">
        <v>45</v>
      </c>
      <c r="E4649" s="12" t="s">
        <v>46</v>
      </c>
      <c r="F4649" s="12" t="s">
        <v>47</v>
      </c>
    </row>
    <row r="4650" spans="1:6" x14ac:dyDescent="0.25">
      <c r="A4650" s="8">
        <v>53102516</v>
      </c>
      <c r="B4650" s="9" t="str">
        <f ca="1">IFERROR(INDEX(UNSPSCDes,MATCH(INDIRECT(ADDRESS(ROW(),COLUMN()-1,4)),UNSPSCCode,0)),"")</f>
        <v>Gorras</v>
      </c>
      <c r="C4650" s="8" t="s">
        <v>55</v>
      </c>
      <c r="D4650" s="8">
        <v>5000</v>
      </c>
      <c r="E4650" s="11">
        <v>340</v>
      </c>
      <c r="F4650" s="10">
        <f ca="1">INDIRECT(ADDRESS(ROW(),COLUMN()-2,4))*INDIRECT(ADDRESS(ROW(),COLUMN()-1,4))</f>
        <v>1700000</v>
      </c>
    </row>
    <row r="4651" spans="1:6" x14ac:dyDescent="0.25">
      <c r="A4651" s="40"/>
      <c r="B4651" s="40"/>
      <c r="C4651" s="40"/>
      <c r="D4651" s="40"/>
      <c r="E4651" s="13" t="s">
        <v>87</v>
      </c>
      <c r="F4651" s="14">
        <f ca="1">SUM(Table398160[MONTO TOTAL ESTIMADO])</f>
        <v>1700000</v>
      </c>
    </row>
    <row r="4652" spans="1:6" ht="15.75" thickBot="1" x14ac:dyDescent="0.3">
      <c r="A4652" s="42"/>
      <c r="B4652" s="42"/>
      <c r="C4652" s="42"/>
      <c r="D4652" s="42"/>
      <c r="E4652" s="42"/>
      <c r="F4652" s="42"/>
    </row>
    <row r="4653" spans="1:6" ht="23.25" thickBot="1" x14ac:dyDescent="0.3">
      <c r="A4653" s="4" t="s">
        <v>19</v>
      </c>
      <c r="B4653" s="4" t="s">
        <v>20</v>
      </c>
      <c r="C4653" s="4" t="s">
        <v>21</v>
      </c>
      <c r="D4653" s="4" t="s">
        <v>22</v>
      </c>
      <c r="E4653" s="4" t="s">
        <v>23</v>
      </c>
      <c r="F4653" s="4" t="s">
        <v>24</v>
      </c>
    </row>
    <row r="4654" spans="1:6" ht="15.75" thickBot="1" x14ac:dyDescent="0.3">
      <c r="A4654" s="32" t="s">
        <v>387</v>
      </c>
      <c r="B4654" s="32" t="s">
        <v>388</v>
      </c>
      <c r="C4654" s="32" t="s">
        <v>27</v>
      </c>
      <c r="D4654" s="6" t="s">
        <v>28</v>
      </c>
      <c r="E4654" s="6" t="s">
        <v>262</v>
      </c>
      <c r="F4654" s="6"/>
    </row>
    <row r="4655" spans="1:6" ht="15.75" thickBot="1" x14ac:dyDescent="0.3">
      <c r="A4655" s="35" t="s">
        <v>31</v>
      </c>
      <c r="B4655" s="7" t="s">
        <v>32</v>
      </c>
      <c r="C4655" s="15">
        <v>45474</v>
      </c>
      <c r="D4655" s="35" t="s">
        <v>33</v>
      </c>
      <c r="E4655" s="7" t="s">
        <v>34</v>
      </c>
      <c r="F4655" s="6"/>
    </row>
    <row r="4656" spans="1:6" ht="15.75" thickBot="1" x14ac:dyDescent="0.3">
      <c r="A4656" s="36"/>
      <c r="B4656" s="7" t="s">
        <v>36</v>
      </c>
      <c r="C4656" s="5">
        <f>IF(C4655="","",IF(AND(MONTH(C4655)&gt;=1,MONTH(C4655)&lt;=3),1,IF(AND(MONTH(C4655)&gt;=4,MONTH(C4655)&lt;=6),2,IF(AND(MONTH(C4655)&gt;=7,MONTH(C4655)&lt;=9),3,4))))</f>
        <v>3</v>
      </c>
      <c r="D4656" s="36"/>
      <c r="E4656" s="7" t="s">
        <v>37</v>
      </c>
      <c r="F4656" s="6"/>
    </row>
    <row r="4657" spans="1:6" ht="15.75" thickBot="1" x14ac:dyDescent="0.3">
      <c r="A4657" s="36"/>
      <c r="B4657" s="7" t="s">
        <v>39</v>
      </c>
      <c r="C4657" s="15">
        <v>45565</v>
      </c>
      <c r="D4657" s="36"/>
      <c r="E4657" s="7" t="s">
        <v>40</v>
      </c>
      <c r="F4657" s="6"/>
    </row>
    <row r="4658" spans="1:6" ht="15.75" thickBot="1" x14ac:dyDescent="0.3">
      <c r="A4658" s="36"/>
      <c r="B4658" s="7" t="s">
        <v>36</v>
      </c>
      <c r="C4658" s="5">
        <f>IF(C4657="","",IF(AND(MONTH(C4657)&gt;=1,MONTH(C4657)&lt;=3),1,IF(AND(MONTH(C4657)&gt;=4,MONTH(C4657)&lt;=6),2,IF(AND(MONTH(C4657)&gt;=7,MONTH(C4657)&lt;=9),3,4))))</f>
        <v>3</v>
      </c>
      <c r="D4658" s="36"/>
      <c r="E4658" s="7" t="s">
        <v>41</v>
      </c>
      <c r="F4658" s="6"/>
    </row>
    <row r="4659" spans="1:6" ht="15.75" thickBot="1" x14ac:dyDescent="0.3">
      <c r="A4659" s="40"/>
      <c r="B4659" s="40"/>
      <c r="C4659" s="40"/>
      <c r="D4659" s="40"/>
      <c r="E4659" s="40"/>
      <c r="F4659" s="40"/>
    </row>
    <row r="4660" spans="1:6" ht="15.75" thickBot="1" x14ac:dyDescent="0.3">
      <c r="A4660" s="12" t="s">
        <v>42</v>
      </c>
      <c r="B4660" s="12" t="s">
        <v>43</v>
      </c>
      <c r="C4660" s="12" t="s">
        <v>44</v>
      </c>
      <c r="D4660" s="12" t="s">
        <v>45</v>
      </c>
      <c r="E4660" s="12" t="s">
        <v>46</v>
      </c>
      <c r="F4660" s="12" t="s">
        <v>47</v>
      </c>
    </row>
    <row r="4661" spans="1:6" x14ac:dyDescent="0.25">
      <c r="A4661" s="8">
        <v>53103001</v>
      </c>
      <c r="B4661" s="9" t="str">
        <f ca="1">IFERROR(INDEX(UNSPSCDes,MATCH(INDIRECT(ADDRESS(ROW(),COLUMN()-1,4)),UNSPSCCode,0)),"")</f>
        <v>Camisetas (t-shirts)</v>
      </c>
      <c r="C4661" s="33" t="s">
        <v>55</v>
      </c>
      <c r="D4661" s="8">
        <v>5000</v>
      </c>
      <c r="E4661" s="11">
        <v>340</v>
      </c>
      <c r="F4661" s="10">
        <f ca="1">INDIRECT(ADDRESS(ROW(),COLUMN()-2,4))*INDIRECT(ADDRESS(ROW(),COLUMN()-1,4))</f>
        <v>1700000</v>
      </c>
    </row>
    <row r="4662" spans="1:6" x14ac:dyDescent="0.25">
      <c r="A4662" s="40"/>
      <c r="B4662" s="40"/>
      <c r="C4662" s="40"/>
      <c r="D4662" s="40"/>
      <c r="E4662" s="13" t="s">
        <v>87</v>
      </c>
      <c r="F4662" s="14">
        <f ca="1">SUM(Table399161[MONTO TOTAL ESTIMADO])</f>
        <v>1700000</v>
      </c>
    </row>
    <row r="4663" spans="1:6" ht="15.75" thickBot="1" x14ac:dyDescent="0.3">
      <c r="A4663" s="42"/>
      <c r="B4663" s="42"/>
      <c r="C4663" s="42"/>
      <c r="D4663" s="42"/>
      <c r="E4663" s="42"/>
      <c r="F4663" s="42"/>
    </row>
    <row r="4664" spans="1:6" ht="23.25" thickBot="1" x14ac:dyDescent="0.3">
      <c r="A4664" s="4" t="s">
        <v>19</v>
      </c>
      <c r="B4664" s="4" t="s">
        <v>20</v>
      </c>
      <c r="C4664" s="4" t="s">
        <v>21</v>
      </c>
      <c r="D4664" s="4" t="s">
        <v>22</v>
      </c>
      <c r="E4664" s="4" t="s">
        <v>23</v>
      </c>
      <c r="F4664" s="4" t="s">
        <v>24</v>
      </c>
    </row>
    <row r="4665" spans="1:6" ht="15.75" thickBot="1" x14ac:dyDescent="0.3">
      <c r="A4665" s="32" t="s">
        <v>389</v>
      </c>
      <c r="B4665" s="32" t="s">
        <v>390</v>
      </c>
      <c r="C4665" s="32" t="s">
        <v>27</v>
      </c>
      <c r="D4665" s="6" t="s">
        <v>28</v>
      </c>
      <c r="E4665" s="6" t="s">
        <v>262</v>
      </c>
      <c r="F4665" s="6"/>
    </row>
    <row r="4666" spans="1:6" ht="15.75" thickBot="1" x14ac:dyDescent="0.3">
      <c r="A4666" s="35" t="s">
        <v>31</v>
      </c>
      <c r="B4666" s="7" t="s">
        <v>32</v>
      </c>
      <c r="C4666" s="15">
        <v>45474</v>
      </c>
      <c r="D4666" s="35" t="s">
        <v>33</v>
      </c>
      <c r="E4666" s="7" t="s">
        <v>34</v>
      </c>
      <c r="F4666" s="6"/>
    </row>
    <row r="4667" spans="1:6" ht="15.75" thickBot="1" x14ac:dyDescent="0.3">
      <c r="A4667" s="36"/>
      <c r="B4667" s="7" t="s">
        <v>36</v>
      </c>
      <c r="C4667" s="5">
        <f>IF(C4666="","",IF(AND(MONTH(C4666)&gt;=1,MONTH(C4666)&lt;=3),1,IF(AND(MONTH(C4666)&gt;=4,MONTH(C4666)&lt;=6),2,IF(AND(MONTH(C4666)&gt;=7,MONTH(C4666)&lt;=9),3,4))))</f>
        <v>3</v>
      </c>
      <c r="D4667" s="36"/>
      <c r="E4667" s="7" t="s">
        <v>37</v>
      </c>
      <c r="F4667" s="6"/>
    </row>
    <row r="4668" spans="1:6" ht="15.75" thickBot="1" x14ac:dyDescent="0.3">
      <c r="A4668" s="36"/>
      <c r="B4668" s="7" t="s">
        <v>39</v>
      </c>
      <c r="C4668" s="15">
        <v>45565</v>
      </c>
      <c r="D4668" s="36"/>
      <c r="E4668" s="7" t="s">
        <v>40</v>
      </c>
      <c r="F4668" s="6"/>
    </row>
    <row r="4669" spans="1:6" ht="15.75" thickBot="1" x14ac:dyDescent="0.3">
      <c r="A4669" s="36"/>
      <c r="B4669" s="7" t="s">
        <v>36</v>
      </c>
      <c r="C4669" s="5">
        <f>IF(C4668="","",IF(AND(MONTH(C4668)&gt;=1,MONTH(C4668)&lt;=3),1,IF(AND(MONTH(C4668)&gt;=4,MONTH(C4668)&lt;=6),2,IF(AND(MONTH(C4668)&gt;=7,MONTH(C4668)&lt;=9),3,4))))</f>
        <v>3</v>
      </c>
      <c r="D4669" s="36"/>
      <c r="E4669" s="7" t="s">
        <v>41</v>
      </c>
      <c r="F4669" s="6"/>
    </row>
    <row r="4670" spans="1:6" ht="15.75" thickBot="1" x14ac:dyDescent="0.3">
      <c r="A4670" s="40"/>
      <c r="B4670" s="40"/>
      <c r="C4670" s="40"/>
      <c r="D4670" s="40"/>
      <c r="E4670" s="40"/>
      <c r="F4670" s="40"/>
    </row>
    <row r="4671" spans="1:6" ht="15.75" thickBot="1" x14ac:dyDescent="0.3">
      <c r="A4671" s="12" t="s">
        <v>42</v>
      </c>
      <c r="B4671" s="12" t="s">
        <v>43</v>
      </c>
      <c r="C4671" s="12" t="s">
        <v>44</v>
      </c>
      <c r="D4671" s="12" t="s">
        <v>45</v>
      </c>
      <c r="E4671" s="12" t="s">
        <v>46</v>
      </c>
      <c r="F4671" s="12" t="s">
        <v>47</v>
      </c>
    </row>
    <row r="4672" spans="1:6" x14ac:dyDescent="0.25">
      <c r="A4672" s="8">
        <v>53121608</v>
      </c>
      <c r="B4672" s="9" t="str">
        <f ca="1">IFERROR(INDEX(UNSPSCDes,MATCH(INDIRECT(ADDRESS(ROW(),COLUMN()-1,4)),UNSPSCCode,0)),"")</f>
        <v>Bolsas para compras</v>
      </c>
      <c r="C4672" s="33" t="s">
        <v>55</v>
      </c>
      <c r="D4672" s="8">
        <v>5000</v>
      </c>
      <c r="E4672" s="11">
        <v>340</v>
      </c>
      <c r="F4672" s="10">
        <f ca="1">INDIRECT(ADDRESS(ROW(),COLUMN()-2,4))*INDIRECT(ADDRESS(ROW(),COLUMN()-1,4))</f>
        <v>1700000</v>
      </c>
    </row>
    <row r="4673" spans="1:6" x14ac:dyDescent="0.25">
      <c r="A4673" s="40"/>
      <c r="B4673" s="40"/>
      <c r="C4673" s="40"/>
      <c r="D4673" s="40"/>
      <c r="E4673" s="13" t="s">
        <v>87</v>
      </c>
      <c r="F4673" s="14">
        <f ca="1">SUM(Table3100162[MONTO TOTAL ESTIMADO])</f>
        <v>1700000</v>
      </c>
    </row>
    <row r="4674" spans="1:6" ht="15.75" thickBot="1" x14ac:dyDescent="0.3">
      <c r="A4674" s="42"/>
      <c r="B4674" s="42"/>
      <c r="C4674" s="42"/>
      <c r="D4674" s="42"/>
      <c r="E4674" s="42"/>
      <c r="F4674" s="42"/>
    </row>
    <row r="4675" spans="1:6" ht="23.25" thickBot="1" x14ac:dyDescent="0.3">
      <c r="A4675" s="4" t="s">
        <v>19</v>
      </c>
      <c r="B4675" s="4" t="s">
        <v>20</v>
      </c>
      <c r="C4675" s="4" t="s">
        <v>21</v>
      </c>
      <c r="D4675" s="4" t="s">
        <v>22</v>
      </c>
      <c r="E4675" s="4" t="s">
        <v>23</v>
      </c>
      <c r="F4675" s="4" t="s">
        <v>24</v>
      </c>
    </row>
    <row r="4676" spans="1:6" ht="15.75" thickBot="1" x14ac:dyDescent="0.3">
      <c r="A4676" s="32" t="s">
        <v>256</v>
      </c>
      <c r="B4676" s="32" t="s">
        <v>392</v>
      </c>
      <c r="C4676" s="32" t="s">
        <v>129</v>
      </c>
      <c r="D4676" s="6" t="s">
        <v>130</v>
      </c>
      <c r="E4676" s="32" t="s">
        <v>29</v>
      </c>
      <c r="F4676" s="6"/>
    </row>
    <row r="4677" spans="1:6" ht="15.75" thickBot="1" x14ac:dyDescent="0.3">
      <c r="A4677" s="35" t="s">
        <v>31</v>
      </c>
      <c r="B4677" s="7" t="s">
        <v>32</v>
      </c>
      <c r="C4677" s="15">
        <v>45474</v>
      </c>
      <c r="D4677" s="35" t="s">
        <v>33</v>
      </c>
      <c r="E4677" s="7" t="s">
        <v>34</v>
      </c>
      <c r="F4677" s="6"/>
    </row>
    <row r="4678" spans="1:6" ht="15.75" thickBot="1" x14ac:dyDescent="0.3">
      <c r="A4678" s="36"/>
      <c r="B4678" s="7" t="s">
        <v>36</v>
      </c>
      <c r="C4678" s="5">
        <f>IF(C4677="","",IF(AND(MONTH(C4677)&gt;=1,MONTH(C4677)&lt;=3),1,IF(AND(MONTH(C4677)&gt;=4,MONTH(C4677)&lt;=6),2,IF(AND(MONTH(C4677)&gt;=7,MONTH(C4677)&lt;=9),3,4))))</f>
        <v>3</v>
      </c>
      <c r="D4678" s="36"/>
      <c r="E4678" s="7" t="s">
        <v>37</v>
      </c>
      <c r="F4678" s="6"/>
    </row>
    <row r="4679" spans="1:6" ht="15.75" thickBot="1" x14ac:dyDescent="0.3">
      <c r="A4679" s="36"/>
      <c r="B4679" s="7" t="s">
        <v>39</v>
      </c>
      <c r="C4679" s="15">
        <v>45565</v>
      </c>
      <c r="D4679" s="36"/>
      <c r="E4679" s="7" t="s">
        <v>40</v>
      </c>
      <c r="F4679" s="6"/>
    </row>
    <row r="4680" spans="1:6" ht="15.75" thickBot="1" x14ac:dyDescent="0.3">
      <c r="A4680" s="36"/>
      <c r="B4680" s="7" t="s">
        <v>36</v>
      </c>
      <c r="C4680" s="5">
        <f>IF(C4679="","",IF(AND(MONTH(C4679)&gt;=1,MONTH(C4679)&lt;=3),1,IF(AND(MONTH(C4679)&gt;=4,MONTH(C4679)&lt;=6),2,IF(AND(MONTH(C4679)&gt;=7,MONTH(C4679)&lt;=9),3,4))))</f>
        <v>3</v>
      </c>
      <c r="D4680" s="36"/>
      <c r="E4680" s="7" t="s">
        <v>41</v>
      </c>
      <c r="F4680" s="6"/>
    </row>
    <row r="4681" spans="1:6" ht="15.75" thickBot="1" x14ac:dyDescent="0.3">
      <c r="A4681" s="40"/>
      <c r="B4681" s="40"/>
      <c r="C4681" s="40"/>
      <c r="D4681" s="40"/>
      <c r="E4681" s="40"/>
      <c r="F4681" s="40"/>
    </row>
    <row r="4682" spans="1:6" ht="15.75" thickBot="1" x14ac:dyDescent="0.3">
      <c r="A4682" s="12" t="s">
        <v>42</v>
      </c>
      <c r="B4682" s="12" t="s">
        <v>43</v>
      </c>
      <c r="C4682" s="12" t="s">
        <v>44</v>
      </c>
      <c r="D4682" s="12" t="s">
        <v>45</v>
      </c>
      <c r="E4682" s="12" t="s">
        <v>46</v>
      </c>
      <c r="F4682" s="12" t="s">
        <v>47</v>
      </c>
    </row>
    <row r="4683" spans="1:6" x14ac:dyDescent="0.25">
      <c r="A4683" s="8">
        <v>82101602</v>
      </c>
      <c r="B4683" s="9" t="str">
        <f ca="1">IFERROR(INDEX(UNSPSCDes,MATCH(INDIRECT(ADDRESS(ROW(),COLUMN()-1,4)),UNSPSCCode,0)),"")</f>
        <v>Publicidad en televisión</v>
      </c>
      <c r="C4683" s="8" t="s">
        <v>55</v>
      </c>
      <c r="D4683" s="8">
        <v>1</v>
      </c>
      <c r="E4683" s="11">
        <v>20000000</v>
      </c>
      <c r="F4683" s="10">
        <f ca="1">INDIRECT(ADDRESS(ROW(),COLUMN()-2,4))*INDIRECT(ADDRESS(ROW(),COLUMN()-1,4))</f>
        <v>20000000</v>
      </c>
    </row>
    <row r="4684" spans="1:6" x14ac:dyDescent="0.25">
      <c r="A4684" s="8">
        <v>82101601</v>
      </c>
      <c r="B4684" s="9" t="str">
        <f ca="1">IFERROR(INDEX(UNSPSCDes,MATCH(INDIRECT(ADDRESS(ROW(),COLUMN()-1,4)),UNSPSCCode,0)),"")</f>
        <v>Publicidad en radio</v>
      </c>
      <c r="C4684" s="33" t="s">
        <v>55</v>
      </c>
      <c r="D4684" s="8">
        <v>1</v>
      </c>
      <c r="E4684" s="11">
        <v>20000000</v>
      </c>
      <c r="F4684" s="10">
        <f ca="1">INDIRECT(ADDRESS(ROW(),COLUMN()-2,4))*INDIRECT(ADDRESS(ROW(),COLUMN()-1,4))</f>
        <v>20000000</v>
      </c>
    </row>
    <row r="4685" spans="1:6" x14ac:dyDescent="0.25">
      <c r="A4685" s="8">
        <v>82101603</v>
      </c>
      <c r="B4685" s="9" t="str">
        <f ca="1">IFERROR(INDEX(UNSPSCDes,MATCH(INDIRECT(ADDRESS(ROW(),COLUMN()-1,4)),UNSPSCCode,0)),"")</f>
        <v>Publicidad en internet</v>
      </c>
      <c r="C4685" s="33" t="s">
        <v>55</v>
      </c>
      <c r="D4685" s="8">
        <v>1</v>
      </c>
      <c r="E4685" s="11">
        <v>10000000</v>
      </c>
      <c r="F4685" s="10">
        <f ca="1">INDIRECT(ADDRESS(ROW(),COLUMN()-2,4))*INDIRECT(ADDRESS(ROW(),COLUMN()-1,4))</f>
        <v>10000000</v>
      </c>
    </row>
    <row r="4686" spans="1:6" x14ac:dyDescent="0.25">
      <c r="A4686" s="40"/>
      <c r="B4686" s="40"/>
      <c r="C4686" s="40"/>
      <c r="D4686" s="40"/>
      <c r="E4686" s="13" t="s">
        <v>87</v>
      </c>
      <c r="F4686" s="14">
        <f ca="1">SUM(Table3101163[MONTO TOTAL ESTIMADO])</f>
        <v>50000000</v>
      </c>
    </row>
    <row r="4687" spans="1:6" ht="15.75" thickBot="1" x14ac:dyDescent="0.3">
      <c r="A4687" s="42"/>
      <c r="B4687" s="42"/>
      <c r="C4687" s="42"/>
      <c r="D4687" s="42"/>
      <c r="E4687" s="42"/>
      <c r="F4687" s="42"/>
    </row>
    <row r="4688" spans="1:6" ht="23.25" thickBot="1" x14ac:dyDescent="0.3">
      <c r="A4688" s="4" t="s">
        <v>19</v>
      </c>
      <c r="B4688" s="4" t="s">
        <v>20</v>
      </c>
      <c r="C4688" s="4" t="s">
        <v>21</v>
      </c>
      <c r="D4688" s="4" t="s">
        <v>22</v>
      </c>
      <c r="E4688" s="4" t="s">
        <v>23</v>
      </c>
      <c r="F4688" s="4" t="s">
        <v>24</v>
      </c>
    </row>
    <row r="4689" spans="1:6" ht="15.75" thickBot="1" x14ac:dyDescent="0.3">
      <c r="A4689" s="32" t="s">
        <v>393</v>
      </c>
      <c r="B4689" s="32" t="s">
        <v>394</v>
      </c>
      <c r="C4689" s="32" t="s">
        <v>27</v>
      </c>
      <c r="D4689" s="6" t="s">
        <v>28</v>
      </c>
      <c r="E4689" s="6" t="s">
        <v>262</v>
      </c>
      <c r="F4689" s="6"/>
    </row>
    <row r="4690" spans="1:6" ht="15.75" thickBot="1" x14ac:dyDescent="0.3">
      <c r="A4690" s="35" t="s">
        <v>31</v>
      </c>
      <c r="B4690" s="7" t="s">
        <v>32</v>
      </c>
      <c r="C4690" s="15">
        <v>45474</v>
      </c>
      <c r="D4690" s="35" t="s">
        <v>33</v>
      </c>
      <c r="E4690" s="7" t="s">
        <v>34</v>
      </c>
      <c r="F4690" s="6"/>
    </row>
    <row r="4691" spans="1:6" ht="15.75" thickBot="1" x14ac:dyDescent="0.3">
      <c r="A4691" s="36"/>
      <c r="B4691" s="7" t="s">
        <v>36</v>
      </c>
      <c r="C4691" s="5">
        <f>IF(C4690="","",IF(AND(MONTH(C4690)&gt;=1,MONTH(C4690)&lt;=3),1,IF(AND(MONTH(C4690)&gt;=4,MONTH(C4690)&lt;=6),2,IF(AND(MONTH(C4690)&gt;=7,MONTH(C4690)&lt;=9),3,4))))</f>
        <v>3</v>
      </c>
      <c r="D4691" s="36"/>
      <c r="E4691" s="7" t="s">
        <v>37</v>
      </c>
      <c r="F4691" s="6"/>
    </row>
    <row r="4692" spans="1:6" ht="15.75" thickBot="1" x14ac:dyDescent="0.3">
      <c r="A4692" s="36"/>
      <c r="B4692" s="7" t="s">
        <v>39</v>
      </c>
      <c r="C4692" s="15">
        <v>45565</v>
      </c>
      <c r="D4692" s="36"/>
      <c r="E4692" s="7" t="s">
        <v>40</v>
      </c>
      <c r="F4692" s="6"/>
    </row>
    <row r="4693" spans="1:6" ht="15.75" thickBot="1" x14ac:dyDescent="0.3">
      <c r="A4693" s="36"/>
      <c r="B4693" s="7" t="s">
        <v>36</v>
      </c>
      <c r="C4693" s="5">
        <f>IF(C4692="","",IF(AND(MONTH(C4692)&gt;=1,MONTH(C4692)&lt;=3),1,IF(AND(MONTH(C4692)&gt;=4,MONTH(C4692)&lt;=6),2,IF(AND(MONTH(C4692)&gt;=7,MONTH(C4692)&lt;=9),3,4))))</f>
        <v>3</v>
      </c>
      <c r="D4693" s="36"/>
      <c r="E4693" s="7" t="s">
        <v>41</v>
      </c>
      <c r="F4693" s="6"/>
    </row>
    <row r="4694" spans="1:6" ht="15.75" thickBot="1" x14ac:dyDescent="0.3">
      <c r="A4694" s="40"/>
      <c r="B4694" s="40"/>
      <c r="C4694" s="40"/>
      <c r="D4694" s="40"/>
      <c r="E4694" s="40"/>
      <c r="F4694" s="40"/>
    </row>
    <row r="4695" spans="1:6" ht="15.75" thickBot="1" x14ac:dyDescent="0.3">
      <c r="A4695" s="12" t="s">
        <v>42</v>
      </c>
      <c r="B4695" s="12" t="s">
        <v>43</v>
      </c>
      <c r="C4695" s="12" t="s">
        <v>44</v>
      </c>
      <c r="D4695" s="12" t="s">
        <v>45</v>
      </c>
      <c r="E4695" s="12" t="s">
        <v>46</v>
      </c>
      <c r="F4695" s="12" t="s">
        <v>47</v>
      </c>
    </row>
    <row r="4696" spans="1:6" x14ac:dyDescent="0.25">
      <c r="A4696" s="8">
        <v>46181701</v>
      </c>
      <c r="B4696" s="9" t="str">
        <f ca="1">IFERROR(INDEX(UNSPSCDes,MATCH(INDIRECT(ADDRESS(ROW(),COLUMN()-1,4)),UNSPSCCode,0)),"")</f>
        <v>Cascos</v>
      </c>
      <c r="C4696" s="33" t="s">
        <v>55</v>
      </c>
      <c r="D4696" s="8">
        <v>900</v>
      </c>
      <c r="E4696" s="11">
        <v>1500</v>
      </c>
      <c r="F4696" s="10">
        <f ca="1">INDIRECT(ADDRESS(ROW(),COLUMN()-2,4))*INDIRECT(ADDRESS(ROW(),COLUMN()-1,4))</f>
        <v>1350000</v>
      </c>
    </row>
    <row r="4697" spans="1:6" x14ac:dyDescent="0.25">
      <c r="A4697" s="40"/>
      <c r="B4697" s="40"/>
      <c r="C4697" s="40"/>
      <c r="D4697" s="40"/>
      <c r="E4697" s="13" t="s">
        <v>87</v>
      </c>
      <c r="F4697" s="14">
        <f ca="1">SUM(Table3102164[MONTO TOTAL ESTIMADO])</f>
        <v>1350000</v>
      </c>
    </row>
    <row r="4698" spans="1:6" ht="15.75" thickBot="1" x14ac:dyDescent="0.3">
      <c r="A4698" s="42"/>
      <c r="B4698" s="42"/>
      <c r="C4698" s="42"/>
      <c r="D4698" s="42"/>
      <c r="E4698" s="42"/>
      <c r="F4698" s="42"/>
    </row>
    <row r="4699" spans="1:6" ht="23.25" thickBot="1" x14ac:dyDescent="0.3">
      <c r="A4699" s="4" t="s">
        <v>19</v>
      </c>
      <c r="B4699" s="4" t="s">
        <v>20</v>
      </c>
      <c r="C4699" s="4" t="s">
        <v>21</v>
      </c>
      <c r="D4699" s="4" t="s">
        <v>22</v>
      </c>
      <c r="E4699" s="4" t="s">
        <v>23</v>
      </c>
      <c r="F4699" s="4" t="s">
        <v>24</v>
      </c>
    </row>
    <row r="4700" spans="1:6" ht="15.75" thickBot="1" x14ac:dyDescent="0.3">
      <c r="A4700" s="32" t="s">
        <v>396</v>
      </c>
      <c r="B4700" s="32" t="s">
        <v>397</v>
      </c>
      <c r="C4700" s="32" t="s">
        <v>27</v>
      </c>
      <c r="D4700" s="6" t="s">
        <v>28</v>
      </c>
      <c r="E4700" s="6" t="s">
        <v>262</v>
      </c>
      <c r="F4700" s="6"/>
    </row>
    <row r="4701" spans="1:6" ht="15.75" thickBot="1" x14ac:dyDescent="0.3">
      <c r="A4701" s="35" t="s">
        <v>31</v>
      </c>
      <c r="B4701" s="7" t="s">
        <v>32</v>
      </c>
      <c r="C4701" s="15">
        <v>45474</v>
      </c>
      <c r="D4701" s="35" t="s">
        <v>33</v>
      </c>
      <c r="E4701" s="7" t="s">
        <v>34</v>
      </c>
      <c r="F4701" s="6"/>
    </row>
    <row r="4702" spans="1:6" ht="15.75" thickBot="1" x14ac:dyDescent="0.3">
      <c r="A4702" s="36"/>
      <c r="B4702" s="7" t="s">
        <v>36</v>
      </c>
      <c r="C4702" s="5">
        <f>IF(C4701="","",IF(AND(MONTH(C4701)&gt;=1,MONTH(C4701)&lt;=3),1,IF(AND(MONTH(C4701)&gt;=4,MONTH(C4701)&lt;=6),2,IF(AND(MONTH(C4701)&gt;=7,MONTH(C4701)&lt;=9),3,4))))</f>
        <v>3</v>
      </c>
      <c r="D4702" s="36"/>
      <c r="E4702" s="7" t="s">
        <v>37</v>
      </c>
      <c r="F4702" s="6"/>
    </row>
    <row r="4703" spans="1:6" ht="15.75" thickBot="1" x14ac:dyDescent="0.3">
      <c r="A4703" s="36"/>
      <c r="B4703" s="7" t="s">
        <v>39</v>
      </c>
      <c r="C4703" s="15">
        <v>45565</v>
      </c>
      <c r="D4703" s="36"/>
      <c r="E4703" s="7" t="s">
        <v>40</v>
      </c>
      <c r="F4703" s="6"/>
    </row>
    <row r="4704" spans="1:6" ht="15.75" thickBot="1" x14ac:dyDescent="0.3">
      <c r="A4704" s="36"/>
      <c r="B4704" s="7" t="s">
        <v>36</v>
      </c>
      <c r="C4704" s="5">
        <f>IF(C4703="","",IF(AND(MONTH(C4703)&gt;=1,MONTH(C4703)&lt;=3),1,IF(AND(MONTH(C4703)&gt;=4,MONTH(C4703)&lt;=6),2,IF(AND(MONTH(C4703)&gt;=7,MONTH(C4703)&lt;=9),3,4))))</f>
        <v>3</v>
      </c>
      <c r="D4704" s="36"/>
      <c r="E4704" s="7" t="s">
        <v>41</v>
      </c>
      <c r="F4704" s="6"/>
    </row>
    <row r="4705" spans="1:6" ht="15.75" thickBot="1" x14ac:dyDescent="0.3">
      <c r="A4705" s="40"/>
      <c r="B4705" s="40"/>
      <c r="C4705" s="40"/>
      <c r="D4705" s="40"/>
      <c r="E4705" s="40"/>
      <c r="F4705" s="40"/>
    </row>
    <row r="4706" spans="1:6" ht="15.75" thickBot="1" x14ac:dyDescent="0.3">
      <c r="A4706" s="12" t="s">
        <v>42</v>
      </c>
      <c r="B4706" s="12" t="s">
        <v>43</v>
      </c>
      <c r="C4706" s="12" t="s">
        <v>44</v>
      </c>
      <c r="D4706" s="12" t="s">
        <v>45</v>
      </c>
      <c r="E4706" s="12" t="s">
        <v>46</v>
      </c>
      <c r="F4706" s="12" t="s">
        <v>47</v>
      </c>
    </row>
    <row r="4707" spans="1:6" x14ac:dyDescent="0.25">
      <c r="A4707" s="8">
        <v>46181507</v>
      </c>
      <c r="B4707" s="9" t="str">
        <f ca="1">IFERROR(INDEX(UNSPSCDes,MATCH(INDIRECT(ADDRESS(ROW(),COLUMN()-1,4)),UNSPSCCode,0)),"")</f>
        <v>Chalecos de seguridad</v>
      </c>
      <c r="C4707" s="33" t="s">
        <v>55</v>
      </c>
      <c r="D4707" s="8">
        <v>5000</v>
      </c>
      <c r="E4707" s="11">
        <v>340</v>
      </c>
      <c r="F4707" s="10">
        <f ca="1">INDIRECT(ADDRESS(ROW(),COLUMN()-2,4))*INDIRECT(ADDRESS(ROW(),COLUMN()-1,4))</f>
        <v>1700000</v>
      </c>
    </row>
    <row r="4708" spans="1:6" x14ac:dyDescent="0.25">
      <c r="A4708" s="40"/>
      <c r="B4708" s="40"/>
      <c r="C4708" s="40"/>
      <c r="D4708" s="40"/>
      <c r="E4708" s="13" t="s">
        <v>87</v>
      </c>
      <c r="F4708" s="14">
        <f ca="1">SUM(Table3103165[MONTO TOTAL ESTIMADO])</f>
        <v>1700000</v>
      </c>
    </row>
    <row r="4709" spans="1:6" ht="15.75" thickBot="1" x14ac:dyDescent="0.3">
      <c r="A4709" s="42"/>
      <c r="B4709" s="42"/>
      <c r="C4709" s="42"/>
      <c r="D4709" s="42"/>
      <c r="E4709" s="42"/>
      <c r="F4709" s="42"/>
    </row>
    <row r="4710" spans="1:6" ht="23.25" thickBot="1" x14ac:dyDescent="0.3">
      <c r="A4710" s="4" t="s">
        <v>19</v>
      </c>
      <c r="B4710" s="4" t="s">
        <v>20</v>
      </c>
      <c r="C4710" s="4" t="s">
        <v>21</v>
      </c>
      <c r="D4710" s="4" t="s">
        <v>22</v>
      </c>
      <c r="E4710" s="4" t="s">
        <v>23</v>
      </c>
      <c r="F4710" s="4" t="s">
        <v>24</v>
      </c>
    </row>
    <row r="4711" spans="1:6" ht="15.75" thickBot="1" x14ac:dyDescent="0.3">
      <c r="A4711" s="32" t="s">
        <v>399</v>
      </c>
      <c r="B4711" s="32" t="s">
        <v>400</v>
      </c>
      <c r="C4711" s="32" t="s">
        <v>27</v>
      </c>
      <c r="D4711" s="6" t="s">
        <v>28</v>
      </c>
      <c r="E4711" s="6" t="s">
        <v>262</v>
      </c>
      <c r="F4711" s="6"/>
    </row>
    <row r="4712" spans="1:6" ht="15.75" thickBot="1" x14ac:dyDescent="0.3">
      <c r="A4712" s="35" t="s">
        <v>31</v>
      </c>
      <c r="B4712" s="7" t="s">
        <v>32</v>
      </c>
      <c r="C4712" s="15">
        <v>45474</v>
      </c>
      <c r="D4712" s="35" t="s">
        <v>33</v>
      </c>
      <c r="E4712" s="7" t="s">
        <v>34</v>
      </c>
      <c r="F4712" s="6"/>
    </row>
    <row r="4713" spans="1:6" ht="15.75" thickBot="1" x14ac:dyDescent="0.3">
      <c r="A4713" s="36"/>
      <c r="B4713" s="7" t="s">
        <v>36</v>
      </c>
      <c r="C4713" s="5">
        <f>IF(C4712="","",IF(AND(MONTH(C4712)&gt;=1,MONTH(C4712)&lt;=3),1,IF(AND(MONTH(C4712)&gt;=4,MONTH(C4712)&lt;=6),2,IF(AND(MONTH(C4712)&gt;=7,MONTH(C4712)&lt;=9),3,4))))</f>
        <v>3</v>
      </c>
      <c r="D4713" s="36"/>
      <c r="E4713" s="7" t="s">
        <v>37</v>
      </c>
      <c r="F4713" s="6"/>
    </row>
    <row r="4714" spans="1:6" ht="15.75" thickBot="1" x14ac:dyDescent="0.3">
      <c r="A4714" s="36"/>
      <c r="B4714" s="7" t="s">
        <v>39</v>
      </c>
      <c r="C4714" s="15">
        <v>45565</v>
      </c>
      <c r="D4714" s="36"/>
      <c r="E4714" s="7" t="s">
        <v>40</v>
      </c>
      <c r="F4714" s="6"/>
    </row>
    <row r="4715" spans="1:6" ht="15.75" thickBot="1" x14ac:dyDescent="0.3">
      <c r="A4715" s="36"/>
      <c r="B4715" s="7" t="s">
        <v>36</v>
      </c>
      <c r="C4715" s="5">
        <f>IF(C4714="","",IF(AND(MONTH(C4714)&gt;=1,MONTH(C4714)&lt;=3),1,IF(AND(MONTH(C4714)&gt;=4,MONTH(C4714)&lt;=6),2,IF(AND(MONTH(C4714)&gt;=7,MONTH(C4714)&lt;=9),3,4))))</f>
        <v>3</v>
      </c>
      <c r="D4715" s="36"/>
      <c r="E4715" s="7" t="s">
        <v>41</v>
      </c>
      <c r="F4715" s="6"/>
    </row>
    <row r="4716" spans="1:6" ht="15.75" thickBot="1" x14ac:dyDescent="0.3">
      <c r="A4716" s="40"/>
      <c r="B4716" s="40"/>
      <c r="C4716" s="40"/>
      <c r="D4716" s="40"/>
      <c r="E4716" s="40"/>
      <c r="F4716" s="40"/>
    </row>
    <row r="4717" spans="1:6" ht="15.75" thickBot="1" x14ac:dyDescent="0.3">
      <c r="A4717" s="12" t="s">
        <v>42</v>
      </c>
      <c r="B4717" s="12" t="s">
        <v>43</v>
      </c>
      <c r="C4717" s="12" t="s">
        <v>44</v>
      </c>
      <c r="D4717" s="12" t="s">
        <v>45</v>
      </c>
      <c r="E4717" s="12" t="s">
        <v>46</v>
      </c>
      <c r="F4717" s="12" t="s">
        <v>47</v>
      </c>
    </row>
    <row r="4718" spans="1:6" x14ac:dyDescent="0.25">
      <c r="A4718" s="8">
        <v>46181701</v>
      </c>
      <c r="B4718" s="9" t="str">
        <f ca="1">IFERROR(INDEX(UNSPSCDes,MATCH(INDIRECT(ADDRESS(ROW(),COLUMN()-1,4)),UNSPSCCode,0)),"")</f>
        <v>Cascos</v>
      </c>
      <c r="C4718" s="8" t="s">
        <v>55</v>
      </c>
      <c r="D4718" s="8">
        <v>900</v>
      </c>
      <c r="E4718" s="11">
        <v>1500</v>
      </c>
      <c r="F4718" s="10">
        <f ca="1">INDIRECT(ADDRESS(ROW(),COLUMN()-2,4))*INDIRECT(ADDRESS(ROW(),COLUMN()-1,4))</f>
        <v>1350000</v>
      </c>
    </row>
    <row r="4719" spans="1:6" x14ac:dyDescent="0.25">
      <c r="A4719" s="40"/>
      <c r="B4719" s="40"/>
      <c r="C4719" s="40"/>
      <c r="D4719" s="40"/>
      <c r="E4719" s="13" t="s">
        <v>87</v>
      </c>
      <c r="F4719" s="14">
        <f ca="1">SUM(Table3104166[MONTO TOTAL ESTIMADO])</f>
        <v>1350000</v>
      </c>
    </row>
    <row r="4720" spans="1:6" ht="15.75" thickBot="1" x14ac:dyDescent="0.3">
      <c r="A4720" s="42"/>
      <c r="B4720" s="42"/>
      <c r="C4720" s="42"/>
      <c r="D4720" s="42"/>
      <c r="E4720" s="42"/>
      <c r="F4720" s="42"/>
    </row>
    <row r="4721" spans="1:6" ht="23.25" thickBot="1" x14ac:dyDescent="0.3">
      <c r="A4721" s="4" t="s">
        <v>19</v>
      </c>
      <c r="B4721" s="4" t="s">
        <v>20</v>
      </c>
      <c r="C4721" s="4" t="s">
        <v>21</v>
      </c>
      <c r="D4721" s="4" t="s">
        <v>22</v>
      </c>
      <c r="E4721" s="4" t="s">
        <v>23</v>
      </c>
      <c r="F4721" s="4" t="s">
        <v>24</v>
      </c>
    </row>
    <row r="4722" spans="1:6" ht="15.75" thickBot="1" x14ac:dyDescent="0.3">
      <c r="A4722" s="32" t="s">
        <v>401</v>
      </c>
      <c r="B4722" s="32" t="s">
        <v>402</v>
      </c>
      <c r="C4722" s="32" t="s">
        <v>27</v>
      </c>
      <c r="D4722" s="6" t="s">
        <v>188</v>
      </c>
      <c r="E4722" s="6" t="s">
        <v>262</v>
      </c>
      <c r="F4722" s="6"/>
    </row>
    <row r="4723" spans="1:6" ht="15.75" thickBot="1" x14ac:dyDescent="0.3">
      <c r="A4723" s="35" t="s">
        <v>31</v>
      </c>
      <c r="B4723" s="7" t="s">
        <v>32</v>
      </c>
      <c r="C4723" s="15">
        <v>45474</v>
      </c>
      <c r="D4723" s="35" t="s">
        <v>33</v>
      </c>
      <c r="E4723" s="7" t="s">
        <v>34</v>
      </c>
      <c r="F4723" s="6"/>
    </row>
    <row r="4724" spans="1:6" ht="15.75" thickBot="1" x14ac:dyDescent="0.3">
      <c r="A4724" s="36"/>
      <c r="B4724" s="7" t="s">
        <v>36</v>
      </c>
      <c r="C4724" s="5">
        <f>IF(C4723="","",IF(AND(MONTH(C4723)&gt;=1,MONTH(C4723)&lt;=3),1,IF(AND(MONTH(C4723)&gt;=4,MONTH(C4723)&lt;=6),2,IF(AND(MONTH(C4723)&gt;=7,MONTH(C4723)&lt;=9),3,4))))</f>
        <v>3</v>
      </c>
      <c r="D4724" s="36"/>
      <c r="E4724" s="7" t="s">
        <v>37</v>
      </c>
      <c r="F4724" s="6"/>
    </row>
    <row r="4725" spans="1:6" ht="15.75" thickBot="1" x14ac:dyDescent="0.3">
      <c r="A4725" s="36"/>
      <c r="B4725" s="7" t="s">
        <v>39</v>
      </c>
      <c r="C4725" s="15">
        <v>45565</v>
      </c>
      <c r="D4725" s="36"/>
      <c r="E4725" s="7" t="s">
        <v>40</v>
      </c>
      <c r="F4725" s="6"/>
    </row>
    <row r="4726" spans="1:6" ht="15.75" thickBot="1" x14ac:dyDescent="0.3">
      <c r="A4726" s="36"/>
      <c r="B4726" s="7" t="s">
        <v>36</v>
      </c>
      <c r="C4726" s="5">
        <f>IF(C4725="","",IF(AND(MONTH(C4725)&gt;=1,MONTH(C4725)&lt;=3),1,IF(AND(MONTH(C4725)&gt;=4,MONTH(C4725)&lt;=6),2,IF(AND(MONTH(C4725)&gt;=7,MONTH(C4725)&lt;=9),3,4))))</f>
        <v>3</v>
      </c>
      <c r="D4726" s="36"/>
      <c r="E4726" s="7" t="s">
        <v>41</v>
      </c>
      <c r="F4726" s="6"/>
    </row>
    <row r="4727" spans="1:6" ht="15.75" thickBot="1" x14ac:dyDescent="0.3">
      <c r="A4727" s="40"/>
      <c r="B4727" s="40"/>
      <c r="C4727" s="40"/>
      <c r="D4727" s="40"/>
      <c r="E4727" s="40"/>
      <c r="F4727" s="40"/>
    </row>
    <row r="4728" spans="1:6" ht="15.75" thickBot="1" x14ac:dyDescent="0.3">
      <c r="A4728" s="12" t="s">
        <v>42</v>
      </c>
      <c r="B4728" s="12" t="s">
        <v>43</v>
      </c>
      <c r="C4728" s="12" t="s">
        <v>44</v>
      </c>
      <c r="D4728" s="12" t="s">
        <v>45</v>
      </c>
      <c r="E4728" s="12" t="s">
        <v>46</v>
      </c>
      <c r="F4728" s="12" t="s">
        <v>47</v>
      </c>
    </row>
    <row r="4729" spans="1:6" x14ac:dyDescent="0.25">
      <c r="A4729" s="8">
        <v>14111704</v>
      </c>
      <c r="B4729" s="9" t="str">
        <f ca="1">IFERROR(INDEX(UNSPSCDes,MATCH(INDIRECT(ADDRESS(ROW(),COLUMN()-1,4)),UNSPSCCode,0)),"")</f>
        <v>Papel higiénico</v>
      </c>
      <c r="C4729" s="8" t="s">
        <v>55</v>
      </c>
      <c r="D4729" s="8">
        <v>100</v>
      </c>
      <c r="E4729" s="11">
        <v>870</v>
      </c>
      <c r="F4729" s="10">
        <f ca="1">INDIRECT(ADDRESS(ROW(),COLUMN()-2,4))*INDIRECT(ADDRESS(ROW(),COLUMN()-1,4))</f>
        <v>87000</v>
      </c>
    </row>
    <row r="4730" spans="1:6" x14ac:dyDescent="0.25">
      <c r="A4730" s="8">
        <v>14111703</v>
      </c>
      <c r="B4730" s="9" t="str">
        <f ca="1">IFERROR(INDEX(UNSPSCDes,MATCH(INDIRECT(ADDRESS(ROW(),COLUMN()-1,4)),UNSPSCCode,0)),"")</f>
        <v>Toallas de papel</v>
      </c>
      <c r="C4730" s="33" t="s">
        <v>55</v>
      </c>
      <c r="D4730" s="8">
        <v>30</v>
      </c>
      <c r="E4730" s="11">
        <v>895.66</v>
      </c>
      <c r="F4730" s="10">
        <f ca="1">INDIRECT(ADDRESS(ROW(),COLUMN()-2,4))*INDIRECT(ADDRESS(ROW(),COLUMN()-1,4))</f>
        <v>26869.8</v>
      </c>
    </row>
    <row r="4731" spans="1:6" x14ac:dyDescent="0.25">
      <c r="A4731" s="8">
        <v>52151504</v>
      </c>
      <c r="B4731" s="9" t="str">
        <f ca="1">IFERROR(INDEX(UNSPSCDes,MATCH(INDIRECT(ADDRESS(ROW(),COLUMN()-1,4)),UNSPSCCode,0)),"")</f>
        <v>Tazas o vasos o tapas desechables para uso doméstico</v>
      </c>
      <c r="C4731" s="8" t="s">
        <v>74</v>
      </c>
      <c r="D4731" s="8">
        <v>100</v>
      </c>
      <c r="E4731" s="11">
        <v>195.82</v>
      </c>
      <c r="F4731" s="10">
        <f ca="1">INDIRECT(ADDRESS(ROW(),COLUMN()-2,4))*INDIRECT(ADDRESS(ROW(),COLUMN()-1,4))</f>
        <v>19582</v>
      </c>
    </row>
    <row r="4732" spans="1:6" x14ac:dyDescent="0.25">
      <c r="A4732" s="8">
        <v>52151504</v>
      </c>
      <c r="B4732" s="9" t="str">
        <f ca="1">IFERROR(INDEX(UNSPSCDes,MATCH(INDIRECT(ADDRESS(ROW(),COLUMN()-1,4)),UNSPSCCode,0)),"")</f>
        <v>Tazas o vasos o tapas desechables para uso doméstico</v>
      </c>
      <c r="C4732" s="33" t="s">
        <v>74</v>
      </c>
      <c r="D4732" s="8">
        <v>150</v>
      </c>
      <c r="E4732" s="11">
        <v>114</v>
      </c>
      <c r="F4732" s="10">
        <f ca="1">INDIRECT(ADDRESS(ROW(),COLUMN()-2,4))*INDIRECT(ADDRESS(ROW(),COLUMN()-1,4))</f>
        <v>17100</v>
      </c>
    </row>
    <row r="4733" spans="1:6" x14ac:dyDescent="0.25">
      <c r="A4733" s="40"/>
      <c r="B4733" s="40"/>
      <c r="C4733" s="40"/>
      <c r="D4733" s="40"/>
      <c r="E4733" s="13" t="s">
        <v>87</v>
      </c>
      <c r="F4733" s="14">
        <f ca="1">SUM(Table3105167[MONTO TOTAL ESTIMADO])</f>
        <v>150551.79999999999</v>
      </c>
    </row>
    <row r="4734" spans="1:6" ht="15.75" thickBot="1" x14ac:dyDescent="0.3">
      <c r="A4734" s="42"/>
      <c r="B4734" s="42"/>
      <c r="C4734" s="42"/>
      <c r="D4734" s="42"/>
      <c r="E4734" s="42"/>
      <c r="F4734" s="42"/>
    </row>
    <row r="4735" spans="1:6" ht="23.25" thickBot="1" x14ac:dyDescent="0.3">
      <c r="A4735" s="4" t="s">
        <v>19</v>
      </c>
      <c r="B4735" s="4" t="s">
        <v>20</v>
      </c>
      <c r="C4735" s="4" t="s">
        <v>21</v>
      </c>
      <c r="D4735" s="4" t="s">
        <v>22</v>
      </c>
      <c r="E4735" s="4" t="s">
        <v>23</v>
      </c>
      <c r="F4735" s="4" t="s">
        <v>24</v>
      </c>
    </row>
    <row r="4736" spans="1:6" ht="15.75" thickBot="1" x14ac:dyDescent="0.3">
      <c r="A4736" s="32" t="s">
        <v>403</v>
      </c>
      <c r="B4736" s="32" t="s">
        <v>404</v>
      </c>
      <c r="C4736" s="6" t="s">
        <v>27</v>
      </c>
      <c r="D4736" s="6" t="s">
        <v>188</v>
      </c>
      <c r="E4736" s="6" t="s">
        <v>262</v>
      </c>
      <c r="F4736" s="6"/>
    </row>
    <row r="4737" spans="1:6" ht="15.75" thickBot="1" x14ac:dyDescent="0.3">
      <c r="A4737" s="35" t="s">
        <v>31</v>
      </c>
      <c r="B4737" s="7" t="s">
        <v>32</v>
      </c>
      <c r="C4737" s="15">
        <v>45474</v>
      </c>
      <c r="D4737" s="35" t="s">
        <v>33</v>
      </c>
      <c r="E4737" s="7" t="s">
        <v>34</v>
      </c>
      <c r="F4737" s="6"/>
    </row>
    <row r="4738" spans="1:6" ht="15.75" thickBot="1" x14ac:dyDescent="0.3">
      <c r="A4738" s="36"/>
      <c r="B4738" s="7" t="s">
        <v>36</v>
      </c>
      <c r="C4738" s="5">
        <f>IF(C4737="","",IF(AND(MONTH(C4737)&gt;=1,MONTH(C4737)&lt;=3),1,IF(AND(MONTH(C4737)&gt;=4,MONTH(C4737)&lt;=6),2,IF(AND(MONTH(C4737)&gt;=7,MONTH(C4737)&lt;=9),3,4))))</f>
        <v>3</v>
      </c>
      <c r="D4738" s="36"/>
      <c r="E4738" s="7" t="s">
        <v>37</v>
      </c>
      <c r="F4738" s="6"/>
    </row>
    <row r="4739" spans="1:6" ht="15.75" thickBot="1" x14ac:dyDescent="0.3">
      <c r="A4739" s="36"/>
      <c r="B4739" s="7" t="s">
        <v>39</v>
      </c>
      <c r="C4739" s="15">
        <v>45565</v>
      </c>
      <c r="D4739" s="36"/>
      <c r="E4739" s="7" t="s">
        <v>40</v>
      </c>
      <c r="F4739" s="6"/>
    </row>
    <row r="4740" spans="1:6" ht="15.75" thickBot="1" x14ac:dyDescent="0.3">
      <c r="A4740" s="36"/>
      <c r="B4740" s="7" t="s">
        <v>36</v>
      </c>
      <c r="C4740" s="5">
        <f>IF(C4739="","",IF(AND(MONTH(C4739)&gt;=1,MONTH(C4739)&lt;=3),1,IF(AND(MONTH(C4739)&gt;=4,MONTH(C4739)&lt;=6),2,IF(AND(MONTH(C4739)&gt;=7,MONTH(C4739)&lt;=9),3,4))))</f>
        <v>3</v>
      </c>
      <c r="D4740" s="36"/>
      <c r="E4740" s="7" t="s">
        <v>41</v>
      </c>
      <c r="F4740" s="6"/>
    </row>
    <row r="4741" spans="1:6" ht="15.75" thickBot="1" x14ac:dyDescent="0.3">
      <c r="A4741" s="40"/>
      <c r="B4741" s="40"/>
      <c r="C4741" s="40"/>
      <c r="D4741" s="40"/>
      <c r="E4741" s="40"/>
      <c r="F4741" s="40"/>
    </row>
    <row r="4742" spans="1:6" ht="15.75" thickBot="1" x14ac:dyDescent="0.3">
      <c r="A4742" s="12" t="s">
        <v>42</v>
      </c>
      <c r="B4742" s="12" t="s">
        <v>43</v>
      </c>
      <c r="C4742" s="12" t="s">
        <v>44</v>
      </c>
      <c r="D4742" s="12" t="s">
        <v>45</v>
      </c>
      <c r="E4742" s="12" t="s">
        <v>46</v>
      </c>
      <c r="F4742" s="12" t="s">
        <v>47</v>
      </c>
    </row>
    <row r="4743" spans="1:6" x14ac:dyDescent="0.25">
      <c r="A4743" s="8">
        <v>31211505</v>
      </c>
      <c r="B4743" s="9" t="str">
        <f ca="1">IFERROR(INDEX(UNSPSCDes,MATCH(INDIRECT(ADDRESS(ROW(),COLUMN()-1,4)),UNSPSCCode,0)),"")</f>
        <v>Pinturas de aceite</v>
      </c>
      <c r="C4743" s="33" t="s">
        <v>55</v>
      </c>
      <c r="D4743" s="8">
        <v>20</v>
      </c>
      <c r="E4743" s="11">
        <v>1552</v>
      </c>
      <c r="F4743" s="10">
        <f ca="1">INDIRECT(ADDRESS(ROW(),COLUMN()-2,4))*INDIRECT(ADDRESS(ROW(),COLUMN()-1,4))</f>
        <v>31040</v>
      </c>
    </row>
    <row r="4744" spans="1:6" x14ac:dyDescent="0.25">
      <c r="A4744" s="40"/>
      <c r="B4744" s="40"/>
      <c r="C4744" s="40"/>
      <c r="D4744" s="40"/>
      <c r="E4744" s="13" t="s">
        <v>87</v>
      </c>
      <c r="F4744" s="14">
        <f ca="1">SUM(Table3106168[MONTO TOTAL ESTIMADO])</f>
        <v>31040</v>
      </c>
    </row>
    <row r="4745" spans="1:6" ht="15.75" thickBot="1" x14ac:dyDescent="0.3">
      <c r="A4745" s="42"/>
      <c r="B4745" s="42"/>
      <c r="C4745" s="42"/>
      <c r="D4745" s="42"/>
      <c r="E4745" s="42"/>
      <c r="F4745" s="42"/>
    </row>
    <row r="4746" spans="1:6" ht="23.25" thickBot="1" x14ac:dyDescent="0.3">
      <c r="A4746" s="4" t="s">
        <v>19</v>
      </c>
      <c r="B4746" s="4" t="s">
        <v>20</v>
      </c>
      <c r="C4746" s="4" t="s">
        <v>21</v>
      </c>
      <c r="D4746" s="4" t="s">
        <v>22</v>
      </c>
      <c r="E4746" s="4" t="s">
        <v>23</v>
      </c>
      <c r="F4746" s="4" t="s">
        <v>24</v>
      </c>
    </row>
    <row r="4747" spans="1:6" ht="15.75" thickBot="1" x14ac:dyDescent="0.3">
      <c r="A4747" s="32" t="s">
        <v>406</v>
      </c>
      <c r="B4747" s="32" t="s">
        <v>407</v>
      </c>
      <c r="C4747" s="32" t="s">
        <v>27</v>
      </c>
      <c r="D4747" s="6" t="s">
        <v>188</v>
      </c>
      <c r="E4747" s="6" t="s">
        <v>262</v>
      </c>
      <c r="F4747" s="6"/>
    </row>
    <row r="4748" spans="1:6" ht="15.75" thickBot="1" x14ac:dyDescent="0.3">
      <c r="A4748" s="35" t="s">
        <v>31</v>
      </c>
      <c r="B4748" s="7" t="s">
        <v>32</v>
      </c>
      <c r="C4748" s="15">
        <v>45474</v>
      </c>
      <c r="D4748" s="35" t="s">
        <v>33</v>
      </c>
      <c r="E4748" s="7" t="s">
        <v>34</v>
      </c>
      <c r="F4748" s="6"/>
    </row>
    <row r="4749" spans="1:6" ht="15.75" thickBot="1" x14ac:dyDescent="0.3">
      <c r="A4749" s="36"/>
      <c r="B4749" s="7" t="s">
        <v>36</v>
      </c>
      <c r="C4749" s="5">
        <f>IF(C4748="","",IF(AND(MONTH(C4748)&gt;=1,MONTH(C4748)&lt;=3),1,IF(AND(MONTH(C4748)&gt;=4,MONTH(C4748)&lt;=6),2,IF(AND(MONTH(C4748)&gt;=7,MONTH(C4748)&lt;=9),3,4))))</f>
        <v>3</v>
      </c>
      <c r="D4749" s="36"/>
      <c r="E4749" s="7" t="s">
        <v>37</v>
      </c>
      <c r="F4749" s="6"/>
    </row>
    <row r="4750" spans="1:6" ht="15.75" thickBot="1" x14ac:dyDescent="0.3">
      <c r="A4750" s="36"/>
      <c r="B4750" s="7" t="s">
        <v>39</v>
      </c>
      <c r="C4750" s="15">
        <v>45565</v>
      </c>
      <c r="D4750" s="36"/>
      <c r="E4750" s="7" t="s">
        <v>40</v>
      </c>
      <c r="F4750" s="6"/>
    </row>
    <row r="4751" spans="1:6" ht="15.75" thickBot="1" x14ac:dyDescent="0.3">
      <c r="A4751" s="36"/>
      <c r="B4751" s="7" t="s">
        <v>36</v>
      </c>
      <c r="C4751" s="5">
        <f>IF(C4750="","",IF(AND(MONTH(C4750)&gt;=1,MONTH(C4750)&lt;=3),1,IF(AND(MONTH(C4750)&gt;=4,MONTH(C4750)&lt;=6),2,IF(AND(MONTH(C4750)&gt;=7,MONTH(C4750)&lt;=9),3,4))))</f>
        <v>3</v>
      </c>
      <c r="D4751" s="36"/>
      <c r="E4751" s="7" t="s">
        <v>41</v>
      </c>
      <c r="F4751" s="6"/>
    </row>
    <row r="4752" spans="1:6" ht="15.75" thickBot="1" x14ac:dyDescent="0.3">
      <c r="A4752" s="40"/>
      <c r="B4752" s="40"/>
      <c r="C4752" s="40"/>
      <c r="D4752" s="40"/>
      <c r="E4752" s="40"/>
      <c r="F4752" s="40"/>
    </row>
    <row r="4753" spans="1:6" ht="15.75" thickBot="1" x14ac:dyDescent="0.3">
      <c r="A4753" s="12" t="s">
        <v>42</v>
      </c>
      <c r="B4753" s="12" t="s">
        <v>43</v>
      </c>
      <c r="C4753" s="12" t="s">
        <v>44</v>
      </c>
      <c r="D4753" s="12" t="s">
        <v>45</v>
      </c>
      <c r="E4753" s="12" t="s">
        <v>46</v>
      </c>
      <c r="F4753" s="12" t="s">
        <v>47</v>
      </c>
    </row>
    <row r="4754" spans="1:6" x14ac:dyDescent="0.25">
      <c r="A4754" s="8">
        <v>46161508</v>
      </c>
      <c r="B4754" s="9" t="str">
        <f ca="1">IFERROR(INDEX(UNSPSCDes,MATCH(INDIRECT(ADDRESS(ROW(),COLUMN()-1,4)),UNSPSCCode,0)),"")</f>
        <v>Conos o delineadores de tráfico</v>
      </c>
      <c r="C4754" s="33" t="s">
        <v>55</v>
      </c>
      <c r="D4754" s="8">
        <v>50</v>
      </c>
      <c r="E4754" s="11">
        <v>913</v>
      </c>
      <c r="F4754" s="10">
        <f ca="1">INDIRECT(ADDRESS(ROW(),COLUMN()-2,4))*INDIRECT(ADDRESS(ROW(),COLUMN()-1,4))</f>
        <v>45650</v>
      </c>
    </row>
    <row r="4755" spans="1:6" x14ac:dyDescent="0.25">
      <c r="A4755" s="40"/>
      <c r="B4755" s="40"/>
      <c r="C4755" s="40"/>
      <c r="D4755" s="40"/>
      <c r="E4755" s="13" t="s">
        <v>87</v>
      </c>
      <c r="F4755" s="14">
        <f ca="1">SUM(Table3107169[MONTO TOTAL ESTIMADO])</f>
        <v>45650</v>
      </c>
    </row>
    <row r="4756" spans="1:6" ht="15.75" thickBot="1" x14ac:dyDescent="0.3">
      <c r="A4756" s="42"/>
      <c r="B4756" s="42"/>
      <c r="C4756" s="42"/>
      <c r="D4756" s="42"/>
      <c r="E4756" s="42"/>
      <c r="F4756" s="42"/>
    </row>
    <row r="4757" spans="1:6" ht="23.25" thickBot="1" x14ac:dyDescent="0.3">
      <c r="A4757" s="4" t="s">
        <v>19</v>
      </c>
      <c r="B4757" s="4" t="s">
        <v>20</v>
      </c>
      <c r="C4757" s="4" t="s">
        <v>21</v>
      </c>
      <c r="D4757" s="4" t="s">
        <v>22</v>
      </c>
      <c r="E4757" s="4" t="s">
        <v>23</v>
      </c>
      <c r="F4757" s="4" t="s">
        <v>24</v>
      </c>
    </row>
    <row r="4758" spans="1:6" ht="15.75" thickBot="1" x14ac:dyDescent="0.3">
      <c r="A4758" s="32" t="s">
        <v>409</v>
      </c>
      <c r="B4758" s="32" t="s">
        <v>410</v>
      </c>
      <c r="C4758" s="32" t="s">
        <v>129</v>
      </c>
      <c r="D4758" s="6" t="s">
        <v>28</v>
      </c>
      <c r="E4758" s="32" t="s">
        <v>29</v>
      </c>
      <c r="F4758" s="6"/>
    </row>
    <row r="4759" spans="1:6" ht="15.75" thickBot="1" x14ac:dyDescent="0.3">
      <c r="A4759" s="35" t="s">
        <v>31</v>
      </c>
      <c r="B4759" s="7" t="s">
        <v>32</v>
      </c>
      <c r="C4759" s="15">
        <v>45474</v>
      </c>
      <c r="D4759" s="35" t="s">
        <v>33</v>
      </c>
      <c r="E4759" s="7" t="s">
        <v>34</v>
      </c>
      <c r="F4759" s="6"/>
    </row>
    <row r="4760" spans="1:6" ht="15.75" thickBot="1" x14ac:dyDescent="0.3">
      <c r="A4760" s="36"/>
      <c r="B4760" s="7" t="s">
        <v>36</v>
      </c>
      <c r="C4760" s="5">
        <f>IF(C4759="","",IF(AND(MONTH(C4759)&gt;=1,MONTH(C4759)&lt;=3),1,IF(AND(MONTH(C4759)&gt;=4,MONTH(C4759)&lt;=6),2,IF(AND(MONTH(C4759)&gt;=7,MONTH(C4759)&lt;=9),3,4))))</f>
        <v>3</v>
      </c>
      <c r="D4760" s="36"/>
      <c r="E4760" s="7" t="s">
        <v>37</v>
      </c>
      <c r="F4760" s="6"/>
    </row>
    <row r="4761" spans="1:6" ht="15.75" thickBot="1" x14ac:dyDescent="0.3">
      <c r="A4761" s="36"/>
      <c r="B4761" s="7" t="s">
        <v>39</v>
      </c>
      <c r="C4761" s="15">
        <v>45565</v>
      </c>
      <c r="D4761" s="36"/>
      <c r="E4761" s="7" t="s">
        <v>40</v>
      </c>
      <c r="F4761" s="6"/>
    </row>
    <row r="4762" spans="1:6" ht="15.75" thickBot="1" x14ac:dyDescent="0.3">
      <c r="A4762" s="36"/>
      <c r="B4762" s="7" t="s">
        <v>36</v>
      </c>
      <c r="C4762" s="5">
        <f>IF(C4761="","",IF(AND(MONTH(C4761)&gt;=1,MONTH(C4761)&lt;=3),1,IF(AND(MONTH(C4761)&gt;=4,MONTH(C4761)&lt;=6),2,IF(AND(MONTH(C4761)&gt;=7,MONTH(C4761)&lt;=9),3,4))))</f>
        <v>3</v>
      </c>
      <c r="D4762" s="36"/>
      <c r="E4762" s="7" t="s">
        <v>41</v>
      </c>
      <c r="F4762" s="6"/>
    </row>
    <row r="4763" spans="1:6" ht="15.75" thickBot="1" x14ac:dyDescent="0.3">
      <c r="A4763" s="40"/>
      <c r="B4763" s="40"/>
      <c r="C4763" s="40"/>
      <c r="D4763" s="40"/>
      <c r="E4763" s="40"/>
      <c r="F4763" s="40"/>
    </row>
    <row r="4764" spans="1:6" ht="15.75" thickBot="1" x14ac:dyDescent="0.3">
      <c r="A4764" s="12" t="s">
        <v>42</v>
      </c>
      <c r="B4764" s="12" t="s">
        <v>43</v>
      </c>
      <c r="C4764" s="12" t="s">
        <v>44</v>
      </c>
      <c r="D4764" s="12" t="s">
        <v>45</v>
      </c>
      <c r="E4764" s="12" t="s">
        <v>46</v>
      </c>
      <c r="F4764" s="12" t="s">
        <v>47</v>
      </c>
    </row>
    <row r="4765" spans="1:6" x14ac:dyDescent="0.25">
      <c r="A4765" s="8">
        <v>72102103</v>
      </c>
      <c r="B4765" s="9" t="str">
        <f ca="1">IFERROR(INDEX(UNSPSCDes,MATCH(INDIRECT(ADDRESS(ROW(),COLUMN()-1,4)),UNSPSCCode,0)),"")</f>
        <v>Servicios de exterminación o fumigación</v>
      </c>
      <c r="C4765" s="33" t="s">
        <v>55</v>
      </c>
      <c r="D4765" s="8">
        <v>1</v>
      </c>
      <c r="E4765" s="11">
        <v>1700000</v>
      </c>
      <c r="F4765" s="10">
        <f ca="1">INDIRECT(ADDRESS(ROW(),COLUMN()-2,4))*INDIRECT(ADDRESS(ROW(),COLUMN()-1,4))</f>
        <v>1700000</v>
      </c>
    </row>
    <row r="4766" spans="1:6" x14ac:dyDescent="0.25">
      <c r="A4766" s="40"/>
      <c r="B4766" s="40"/>
      <c r="C4766" s="40"/>
      <c r="D4766" s="40"/>
      <c r="E4766" s="13" t="s">
        <v>87</v>
      </c>
      <c r="F4766" s="14">
        <f ca="1">SUM(Table3108170[MONTO TOTAL ESTIMADO])</f>
        <v>1700000</v>
      </c>
    </row>
    <row r="4767" spans="1:6" ht="15.75" thickBot="1" x14ac:dyDescent="0.3">
      <c r="A4767" s="42"/>
      <c r="B4767" s="42"/>
      <c r="C4767" s="42"/>
      <c r="D4767" s="42"/>
      <c r="E4767" s="42"/>
      <c r="F4767" s="42"/>
    </row>
    <row r="4768" spans="1:6" ht="23.25" thickBot="1" x14ac:dyDescent="0.3">
      <c r="A4768" s="4" t="s">
        <v>19</v>
      </c>
      <c r="B4768" s="4" t="s">
        <v>20</v>
      </c>
      <c r="C4768" s="4" t="s">
        <v>21</v>
      </c>
      <c r="D4768" s="4" t="s">
        <v>22</v>
      </c>
      <c r="E4768" s="4" t="s">
        <v>23</v>
      </c>
      <c r="F4768" s="4" t="s">
        <v>24</v>
      </c>
    </row>
    <row r="4769" spans="1:6" ht="15.75" thickBot="1" x14ac:dyDescent="0.3">
      <c r="A4769" s="32" t="s">
        <v>325</v>
      </c>
      <c r="B4769" s="32" t="s">
        <v>411</v>
      </c>
      <c r="C4769" s="32" t="s">
        <v>27</v>
      </c>
      <c r="D4769" s="6" t="s">
        <v>28</v>
      </c>
      <c r="E4769" s="6" t="s">
        <v>262</v>
      </c>
      <c r="F4769" s="6"/>
    </row>
    <row r="4770" spans="1:6" ht="15.75" thickBot="1" x14ac:dyDescent="0.3">
      <c r="A4770" s="35" t="s">
        <v>31</v>
      </c>
      <c r="B4770" s="7" t="s">
        <v>32</v>
      </c>
      <c r="C4770" s="15">
        <v>45474</v>
      </c>
      <c r="D4770" s="35" t="s">
        <v>33</v>
      </c>
      <c r="E4770" s="7" t="s">
        <v>34</v>
      </c>
      <c r="F4770" s="6"/>
    </row>
    <row r="4771" spans="1:6" ht="15.75" thickBot="1" x14ac:dyDescent="0.3">
      <c r="A4771" s="36"/>
      <c r="B4771" s="7" t="s">
        <v>36</v>
      </c>
      <c r="C4771" s="5">
        <f>IF(C4770="","",IF(AND(MONTH(C4770)&gt;=1,MONTH(C4770)&lt;=3),1,IF(AND(MONTH(C4770)&gt;=4,MONTH(C4770)&lt;=6),2,IF(AND(MONTH(C4770)&gt;=7,MONTH(C4770)&lt;=9),3,4))))</f>
        <v>3</v>
      </c>
      <c r="D4771" s="36"/>
      <c r="E4771" s="7" t="s">
        <v>37</v>
      </c>
      <c r="F4771" s="6"/>
    </row>
    <row r="4772" spans="1:6" ht="15.75" thickBot="1" x14ac:dyDescent="0.3">
      <c r="A4772" s="36"/>
      <c r="B4772" s="7" t="s">
        <v>39</v>
      </c>
      <c r="C4772" s="15">
        <v>45565</v>
      </c>
      <c r="D4772" s="36"/>
      <c r="E4772" s="7" t="s">
        <v>40</v>
      </c>
      <c r="F4772" s="6"/>
    </row>
    <row r="4773" spans="1:6" ht="15.75" thickBot="1" x14ac:dyDescent="0.3">
      <c r="A4773" s="36"/>
      <c r="B4773" s="7" t="s">
        <v>36</v>
      </c>
      <c r="C4773" s="5">
        <f>IF(C4772="","",IF(AND(MONTH(C4772)&gt;=1,MONTH(C4772)&lt;=3),1,IF(AND(MONTH(C4772)&gt;=4,MONTH(C4772)&lt;=6),2,IF(AND(MONTH(C4772)&gt;=7,MONTH(C4772)&lt;=9),3,4))))</f>
        <v>3</v>
      </c>
      <c r="D4773" s="36"/>
      <c r="E4773" s="7" t="s">
        <v>41</v>
      </c>
      <c r="F4773" s="6"/>
    </row>
    <row r="4774" spans="1:6" ht="15.75" thickBot="1" x14ac:dyDescent="0.3">
      <c r="A4774" s="40"/>
      <c r="B4774" s="40"/>
      <c r="C4774" s="40"/>
      <c r="D4774" s="40"/>
      <c r="E4774" s="40"/>
      <c r="F4774" s="40"/>
    </row>
    <row r="4775" spans="1:6" ht="15.75" thickBot="1" x14ac:dyDescent="0.3">
      <c r="A4775" s="12" t="s">
        <v>42</v>
      </c>
      <c r="B4775" s="12" t="s">
        <v>43</v>
      </c>
      <c r="C4775" s="12" t="s">
        <v>44</v>
      </c>
      <c r="D4775" s="12" t="s">
        <v>45</v>
      </c>
      <c r="E4775" s="12" t="s">
        <v>46</v>
      </c>
      <c r="F4775" s="12" t="s">
        <v>47</v>
      </c>
    </row>
    <row r="4776" spans="1:6" x14ac:dyDescent="0.25">
      <c r="A4776" s="8">
        <v>47131803</v>
      </c>
      <c r="B4776" s="9" t="str">
        <f t="shared" ref="B4776:B4786" ca="1" si="72">IFERROR(INDEX(UNSPSCDes,MATCH(INDIRECT(ADDRESS(ROW(),COLUMN()-1,4)),UNSPSCCode,0)),"")</f>
        <v>Desinfectantes para uso doméstico</v>
      </c>
      <c r="C4776" s="8" t="s">
        <v>92</v>
      </c>
      <c r="D4776" s="8">
        <v>85</v>
      </c>
      <c r="E4776" s="11">
        <v>241.9</v>
      </c>
      <c r="F4776" s="10">
        <f t="shared" ref="F4776:F4786" ca="1" si="73">INDIRECT(ADDRESS(ROW(),COLUMN()-2,4))*INDIRECT(ADDRESS(ROW(),COLUMN()-1,4))</f>
        <v>20561.5</v>
      </c>
    </row>
    <row r="4777" spans="1:6" x14ac:dyDescent="0.25">
      <c r="A4777" s="8">
        <v>47131807</v>
      </c>
      <c r="B4777" s="9" t="str">
        <f t="shared" ca="1" si="72"/>
        <v>Blanqueadores</v>
      </c>
      <c r="C4777" s="33" t="s">
        <v>55</v>
      </c>
      <c r="D4777" s="8">
        <v>24</v>
      </c>
      <c r="E4777" s="11">
        <v>14160</v>
      </c>
      <c r="F4777" s="10">
        <f t="shared" ca="1" si="73"/>
        <v>339840</v>
      </c>
    </row>
    <row r="4778" spans="1:6" x14ac:dyDescent="0.25">
      <c r="A4778" s="8">
        <v>47131807</v>
      </c>
      <c r="B4778" s="9" t="str">
        <f t="shared" ca="1" si="72"/>
        <v>Blanqueadores</v>
      </c>
      <c r="C4778" s="8" t="s">
        <v>92</v>
      </c>
      <c r="D4778" s="8">
        <v>24</v>
      </c>
      <c r="E4778" s="11">
        <v>12980</v>
      </c>
      <c r="F4778" s="10">
        <f t="shared" ca="1" si="73"/>
        <v>311520</v>
      </c>
    </row>
    <row r="4779" spans="1:6" x14ac:dyDescent="0.25">
      <c r="A4779" s="8">
        <v>47101608</v>
      </c>
      <c r="B4779" s="9" t="str">
        <f t="shared" ca="1" si="72"/>
        <v>Floculantes</v>
      </c>
      <c r="C4779" s="33" t="s">
        <v>55</v>
      </c>
      <c r="D4779" s="8">
        <v>30</v>
      </c>
      <c r="E4779" s="11">
        <v>542.79999999999995</v>
      </c>
      <c r="F4779" s="10">
        <f t="shared" ca="1" si="73"/>
        <v>16283.999999999998</v>
      </c>
    </row>
    <row r="4780" spans="1:6" x14ac:dyDescent="0.25">
      <c r="A4780" s="8">
        <v>47131807</v>
      </c>
      <c r="B4780" s="9" t="str">
        <f t="shared" ca="1" si="72"/>
        <v>Blanqueadores</v>
      </c>
      <c r="C4780" s="33" t="s">
        <v>55</v>
      </c>
      <c r="D4780" s="8">
        <v>8</v>
      </c>
      <c r="E4780" s="11">
        <v>8142</v>
      </c>
      <c r="F4780" s="10">
        <f t="shared" ca="1" si="73"/>
        <v>65136</v>
      </c>
    </row>
    <row r="4781" spans="1:6" x14ac:dyDescent="0.25">
      <c r="A4781" s="8">
        <v>47101601</v>
      </c>
      <c r="B4781" s="9" t="str">
        <f t="shared" ca="1" si="72"/>
        <v>Alguicidas</v>
      </c>
      <c r="C4781" s="33" t="s">
        <v>55</v>
      </c>
      <c r="D4781" s="8">
        <v>20</v>
      </c>
      <c r="E4781" s="11">
        <v>2124</v>
      </c>
      <c r="F4781" s="10">
        <f t="shared" ca="1" si="73"/>
        <v>42480</v>
      </c>
    </row>
    <row r="4782" spans="1:6" x14ac:dyDescent="0.25">
      <c r="A4782" s="8">
        <v>47131807</v>
      </c>
      <c r="B4782" s="9" t="str">
        <f t="shared" ca="1" si="72"/>
        <v>Blanqueadores</v>
      </c>
      <c r="C4782" s="8" t="s">
        <v>92</v>
      </c>
      <c r="D4782" s="8">
        <v>35</v>
      </c>
      <c r="E4782" s="11">
        <v>1652</v>
      </c>
      <c r="F4782" s="10">
        <f t="shared" ca="1" si="73"/>
        <v>57820</v>
      </c>
    </row>
    <row r="4783" spans="1:6" x14ac:dyDescent="0.25">
      <c r="A4783" s="8">
        <v>40142501</v>
      </c>
      <c r="B4783" s="9" t="str">
        <f t="shared" ca="1" si="72"/>
        <v>Filtros (coladores) de líquido</v>
      </c>
      <c r="C4783" s="33" t="s">
        <v>55</v>
      </c>
      <c r="D4783" s="8">
        <v>2</v>
      </c>
      <c r="E4783" s="11">
        <v>1416</v>
      </c>
      <c r="F4783" s="10">
        <f t="shared" ca="1" si="73"/>
        <v>2832</v>
      </c>
    </row>
    <row r="4784" spans="1:6" x14ac:dyDescent="0.25">
      <c r="A4784" s="8">
        <v>24101511</v>
      </c>
      <c r="B4784" s="9" t="str">
        <f t="shared" ca="1" si="72"/>
        <v>Trolleys de estante</v>
      </c>
      <c r="C4784" s="33" t="s">
        <v>55</v>
      </c>
      <c r="D4784" s="8">
        <v>2</v>
      </c>
      <c r="E4784" s="11">
        <v>23128</v>
      </c>
      <c r="F4784" s="10">
        <f t="shared" ca="1" si="73"/>
        <v>46256</v>
      </c>
    </row>
    <row r="4785" spans="1:6" x14ac:dyDescent="0.25">
      <c r="A4785" s="8">
        <v>27112813</v>
      </c>
      <c r="B4785" s="9" t="str">
        <f t="shared" ca="1" si="72"/>
        <v>Vara de extensión</v>
      </c>
      <c r="C4785" s="33" t="s">
        <v>55</v>
      </c>
      <c r="D4785" s="8">
        <v>2</v>
      </c>
      <c r="E4785" s="11">
        <v>10127.6</v>
      </c>
      <c r="F4785" s="10">
        <f t="shared" ca="1" si="73"/>
        <v>20255.2</v>
      </c>
    </row>
    <row r="4786" spans="1:6" x14ac:dyDescent="0.25">
      <c r="A4786" s="8">
        <v>60104202</v>
      </c>
      <c r="B4786" s="9" t="str">
        <f t="shared" ca="1" si="72"/>
        <v>Kits de muestreo y pruebas del agua</v>
      </c>
      <c r="C4786" s="33" t="s">
        <v>55</v>
      </c>
      <c r="D4786" s="8">
        <v>2</v>
      </c>
      <c r="E4786" s="11">
        <v>1298</v>
      </c>
      <c r="F4786" s="10">
        <f t="shared" ca="1" si="73"/>
        <v>2596</v>
      </c>
    </row>
    <row r="4787" spans="1:6" x14ac:dyDescent="0.25">
      <c r="A4787" s="40"/>
      <c r="B4787" s="40"/>
      <c r="C4787" s="40"/>
      <c r="D4787" s="40"/>
      <c r="E4787" s="13" t="s">
        <v>87</v>
      </c>
      <c r="F4787" s="14">
        <f ca="1">SUM(Table3109171[MONTO TOTAL ESTIMADO])</f>
        <v>925580.7</v>
      </c>
    </row>
    <row r="4788" spans="1:6" ht="15.75" thickBot="1" x14ac:dyDescent="0.3">
      <c r="A4788" s="42"/>
      <c r="B4788" s="42"/>
      <c r="C4788" s="42"/>
      <c r="D4788" s="42"/>
      <c r="E4788" s="42"/>
      <c r="F4788" s="42"/>
    </row>
    <row r="4789" spans="1:6" ht="23.25" thickBot="1" x14ac:dyDescent="0.3">
      <c r="A4789" s="4" t="s">
        <v>19</v>
      </c>
      <c r="B4789" s="4" t="s">
        <v>20</v>
      </c>
      <c r="C4789" s="4" t="s">
        <v>21</v>
      </c>
      <c r="D4789" s="4" t="s">
        <v>22</v>
      </c>
      <c r="E4789" s="4" t="s">
        <v>23</v>
      </c>
      <c r="F4789" s="4" t="s">
        <v>24</v>
      </c>
    </row>
    <row r="4790" spans="1:6" ht="15.75" thickBot="1" x14ac:dyDescent="0.3">
      <c r="A4790" s="32" t="s">
        <v>418</v>
      </c>
      <c r="B4790" s="32" t="s">
        <v>419</v>
      </c>
      <c r="C4790" s="32" t="s">
        <v>27</v>
      </c>
      <c r="D4790" s="6" t="s">
        <v>188</v>
      </c>
      <c r="E4790" s="6" t="s">
        <v>262</v>
      </c>
      <c r="F4790" s="6"/>
    </row>
    <row r="4791" spans="1:6" ht="15.75" thickBot="1" x14ac:dyDescent="0.3">
      <c r="A4791" s="35" t="s">
        <v>31</v>
      </c>
      <c r="B4791" s="7" t="s">
        <v>32</v>
      </c>
      <c r="C4791" s="15">
        <v>45474</v>
      </c>
      <c r="D4791" s="35" t="s">
        <v>33</v>
      </c>
      <c r="E4791" s="7" t="s">
        <v>34</v>
      </c>
      <c r="F4791" s="6"/>
    </row>
    <row r="4792" spans="1:6" ht="15.75" thickBot="1" x14ac:dyDescent="0.3">
      <c r="A4792" s="36"/>
      <c r="B4792" s="7" t="s">
        <v>36</v>
      </c>
      <c r="C4792" s="5">
        <f>IF(C4791="","",IF(AND(MONTH(C4791)&gt;=1,MONTH(C4791)&lt;=3),1,IF(AND(MONTH(C4791)&gt;=4,MONTH(C4791)&lt;=6),2,IF(AND(MONTH(C4791)&gt;=7,MONTH(C4791)&lt;=9),3,4))))</f>
        <v>3</v>
      </c>
      <c r="D4792" s="36"/>
      <c r="E4792" s="7" t="s">
        <v>37</v>
      </c>
      <c r="F4792" s="6"/>
    </row>
    <row r="4793" spans="1:6" ht="15.75" thickBot="1" x14ac:dyDescent="0.3">
      <c r="A4793" s="36"/>
      <c r="B4793" s="7" t="s">
        <v>39</v>
      </c>
      <c r="C4793" s="15">
        <v>45565</v>
      </c>
      <c r="D4793" s="36"/>
      <c r="E4793" s="7" t="s">
        <v>40</v>
      </c>
      <c r="F4793" s="6"/>
    </row>
    <row r="4794" spans="1:6" ht="15.75" thickBot="1" x14ac:dyDescent="0.3">
      <c r="A4794" s="36"/>
      <c r="B4794" s="7" t="s">
        <v>36</v>
      </c>
      <c r="C4794" s="5">
        <f>IF(C4793="","",IF(AND(MONTH(C4793)&gt;=1,MONTH(C4793)&lt;=3),1,IF(AND(MONTH(C4793)&gt;=4,MONTH(C4793)&lt;=6),2,IF(AND(MONTH(C4793)&gt;=7,MONTH(C4793)&lt;=9),3,4))))</f>
        <v>3</v>
      </c>
      <c r="D4794" s="36"/>
      <c r="E4794" s="7" t="s">
        <v>41</v>
      </c>
      <c r="F4794" s="6"/>
    </row>
    <row r="4795" spans="1:6" ht="15.75" thickBot="1" x14ac:dyDescent="0.3">
      <c r="A4795" s="40"/>
      <c r="B4795" s="40"/>
      <c r="C4795" s="40"/>
      <c r="D4795" s="40"/>
      <c r="E4795" s="40"/>
      <c r="F4795" s="40"/>
    </row>
    <row r="4796" spans="1:6" ht="15.75" thickBot="1" x14ac:dyDescent="0.3">
      <c r="A4796" s="12" t="s">
        <v>42</v>
      </c>
      <c r="B4796" s="12" t="s">
        <v>43</v>
      </c>
      <c r="C4796" s="12" t="s">
        <v>44</v>
      </c>
      <c r="D4796" s="12" t="s">
        <v>45</v>
      </c>
      <c r="E4796" s="12" t="s">
        <v>46</v>
      </c>
      <c r="F4796" s="12" t="s">
        <v>47</v>
      </c>
    </row>
    <row r="4797" spans="1:6" x14ac:dyDescent="0.25">
      <c r="A4797" s="8">
        <v>40161513</v>
      </c>
      <c r="B4797" s="9" t="str">
        <f ca="1">IFERROR(INDEX(UNSPSCDes,MATCH(INDIRECT(ADDRESS(ROW(),COLUMN()-1,4)),UNSPSCCode,0)),"")</f>
        <v>Filtros de combustible</v>
      </c>
      <c r="C4797" s="8" t="s">
        <v>55</v>
      </c>
      <c r="D4797" s="8">
        <v>10</v>
      </c>
      <c r="E4797" s="11">
        <v>2124</v>
      </c>
      <c r="F4797" s="10">
        <f ca="1">INDIRECT(ADDRESS(ROW(),COLUMN()-2,4))*INDIRECT(ADDRESS(ROW(),COLUMN()-1,4))</f>
        <v>21240</v>
      </c>
    </row>
    <row r="4798" spans="1:6" x14ac:dyDescent="0.25">
      <c r="A4798" s="40"/>
      <c r="B4798" s="40"/>
      <c r="C4798" s="40"/>
      <c r="D4798" s="40"/>
      <c r="E4798" s="13" t="s">
        <v>87</v>
      </c>
      <c r="F4798" s="14">
        <f ca="1">SUM(Table3110172[MONTO TOTAL ESTIMADO])</f>
        <v>21240</v>
      </c>
    </row>
    <row r="4799" spans="1:6" ht="15.75" thickBot="1" x14ac:dyDescent="0.3">
      <c r="A4799" s="42"/>
      <c r="B4799" s="42"/>
      <c r="C4799" s="42"/>
      <c r="D4799" s="42"/>
      <c r="E4799" s="42"/>
      <c r="F4799" s="42"/>
    </row>
    <row r="4800" spans="1:6" ht="23.25" thickBot="1" x14ac:dyDescent="0.3">
      <c r="A4800" s="4" t="s">
        <v>19</v>
      </c>
      <c r="B4800" s="4" t="s">
        <v>20</v>
      </c>
      <c r="C4800" s="4" t="s">
        <v>21</v>
      </c>
      <c r="D4800" s="4" t="s">
        <v>22</v>
      </c>
      <c r="E4800" s="4" t="s">
        <v>23</v>
      </c>
      <c r="F4800" s="4" t="s">
        <v>24</v>
      </c>
    </row>
    <row r="4801" spans="1:6" ht="15.75" thickBot="1" x14ac:dyDescent="0.3">
      <c r="A4801" s="32" t="s">
        <v>420</v>
      </c>
      <c r="B4801" s="32" t="s">
        <v>421</v>
      </c>
      <c r="C4801" s="32" t="s">
        <v>27</v>
      </c>
      <c r="D4801" s="6" t="s">
        <v>188</v>
      </c>
      <c r="E4801" s="6" t="s">
        <v>262</v>
      </c>
      <c r="F4801" s="6"/>
    </row>
    <row r="4802" spans="1:6" ht="15.75" thickBot="1" x14ac:dyDescent="0.3">
      <c r="A4802" s="35" t="s">
        <v>31</v>
      </c>
      <c r="B4802" s="7" t="s">
        <v>32</v>
      </c>
      <c r="C4802" s="15">
        <v>45474</v>
      </c>
      <c r="D4802" s="35" t="s">
        <v>33</v>
      </c>
      <c r="E4802" s="7" t="s">
        <v>34</v>
      </c>
      <c r="F4802" s="6"/>
    </row>
    <row r="4803" spans="1:6" ht="15.75" thickBot="1" x14ac:dyDescent="0.3">
      <c r="A4803" s="36"/>
      <c r="B4803" s="7" t="s">
        <v>36</v>
      </c>
      <c r="C4803" s="5">
        <f>IF(C4802="","",IF(AND(MONTH(C4802)&gt;=1,MONTH(C4802)&lt;=3),1,IF(AND(MONTH(C4802)&gt;=4,MONTH(C4802)&lt;=6),2,IF(AND(MONTH(C4802)&gt;=7,MONTH(C4802)&lt;=9),3,4))))</f>
        <v>3</v>
      </c>
      <c r="D4803" s="36"/>
      <c r="E4803" s="7" t="s">
        <v>37</v>
      </c>
      <c r="F4803" s="6"/>
    </row>
    <row r="4804" spans="1:6" ht="15.75" thickBot="1" x14ac:dyDescent="0.3">
      <c r="A4804" s="36"/>
      <c r="B4804" s="7" t="s">
        <v>39</v>
      </c>
      <c r="C4804" s="15">
        <v>45565</v>
      </c>
      <c r="D4804" s="36"/>
      <c r="E4804" s="7" t="s">
        <v>40</v>
      </c>
      <c r="F4804" s="6"/>
    </row>
    <row r="4805" spans="1:6" ht="15.75" thickBot="1" x14ac:dyDescent="0.3">
      <c r="A4805" s="36"/>
      <c r="B4805" s="7" t="s">
        <v>36</v>
      </c>
      <c r="C4805" s="5">
        <f>IF(C4804="","",IF(AND(MONTH(C4804)&gt;=1,MONTH(C4804)&lt;=3),1,IF(AND(MONTH(C4804)&gt;=4,MONTH(C4804)&lt;=6),2,IF(AND(MONTH(C4804)&gt;=7,MONTH(C4804)&lt;=9),3,4))))</f>
        <v>3</v>
      </c>
      <c r="D4805" s="36"/>
      <c r="E4805" s="7" t="s">
        <v>41</v>
      </c>
      <c r="F4805" s="6"/>
    </row>
    <row r="4806" spans="1:6" ht="15.75" thickBot="1" x14ac:dyDescent="0.3">
      <c r="A4806" s="40"/>
      <c r="B4806" s="40"/>
      <c r="C4806" s="40"/>
      <c r="D4806" s="40"/>
      <c r="E4806" s="40"/>
      <c r="F4806" s="40"/>
    </row>
    <row r="4807" spans="1:6" ht="15.75" thickBot="1" x14ac:dyDescent="0.3">
      <c r="A4807" s="12" t="s">
        <v>42</v>
      </c>
      <c r="B4807" s="12" t="s">
        <v>43</v>
      </c>
      <c r="C4807" s="12" t="s">
        <v>44</v>
      </c>
      <c r="D4807" s="12" t="s">
        <v>45</v>
      </c>
      <c r="E4807" s="12" t="s">
        <v>46</v>
      </c>
      <c r="F4807" s="12" t="s">
        <v>47</v>
      </c>
    </row>
    <row r="4808" spans="1:6" x14ac:dyDescent="0.25">
      <c r="A4808" s="8">
        <v>13101723</v>
      </c>
      <c r="B4808" s="9" t="str">
        <f t="shared" ref="B4808:B4814" ca="1" si="74">IFERROR(INDEX(UNSPSCDes,MATCH(INDIRECT(ADDRESS(ROW(),COLUMN()-1,4)),UNSPSCCode,0)),"")</f>
        <v>Termoplástico</v>
      </c>
      <c r="C4808" s="8" t="s">
        <v>55</v>
      </c>
      <c r="D4808" s="8">
        <v>10</v>
      </c>
      <c r="E4808" s="11">
        <v>3120</v>
      </c>
      <c r="F4808" s="10">
        <f t="shared" ref="F4808:F4814" ca="1" si="75">INDIRECT(ADDRESS(ROW(),COLUMN()-2,4))*INDIRECT(ADDRESS(ROW(),COLUMN()-1,4))</f>
        <v>31200</v>
      </c>
    </row>
    <row r="4809" spans="1:6" x14ac:dyDescent="0.25">
      <c r="A4809" s="8">
        <v>13101723</v>
      </c>
      <c r="B4809" s="9" t="str">
        <f t="shared" ca="1" si="74"/>
        <v>Termoplástico</v>
      </c>
      <c r="C4809" s="33" t="s">
        <v>55</v>
      </c>
      <c r="D4809" s="8">
        <v>15</v>
      </c>
      <c r="E4809" s="11">
        <v>2022</v>
      </c>
      <c r="F4809" s="10">
        <f t="shared" ca="1" si="75"/>
        <v>30330</v>
      </c>
    </row>
    <row r="4810" spans="1:6" x14ac:dyDescent="0.25">
      <c r="A4810" s="8">
        <v>13101723</v>
      </c>
      <c r="B4810" s="9" t="str">
        <f t="shared" ca="1" si="74"/>
        <v>Termoplástico</v>
      </c>
      <c r="C4810" s="33" t="s">
        <v>55</v>
      </c>
      <c r="D4810" s="8">
        <v>30</v>
      </c>
      <c r="E4810" s="11">
        <v>870</v>
      </c>
      <c r="F4810" s="10">
        <f t="shared" ca="1" si="75"/>
        <v>26100</v>
      </c>
    </row>
    <row r="4811" spans="1:6" x14ac:dyDescent="0.25">
      <c r="A4811" s="8">
        <v>48101909</v>
      </c>
      <c r="B4811" s="9" t="str">
        <f t="shared" ca="1" si="74"/>
        <v>Teteras o cafeteras para servicio de comidas</v>
      </c>
      <c r="C4811" s="33" t="s">
        <v>55</v>
      </c>
      <c r="D4811" s="8">
        <v>20</v>
      </c>
      <c r="E4811" s="11">
        <v>1139.99</v>
      </c>
      <c r="F4811" s="10">
        <f t="shared" ca="1" si="75"/>
        <v>22799.8</v>
      </c>
    </row>
    <row r="4812" spans="1:6" x14ac:dyDescent="0.25">
      <c r="A4812" s="8">
        <v>52151704</v>
      </c>
      <c r="B4812" s="9" t="str">
        <f t="shared" ca="1" si="74"/>
        <v>Cucharas para uso doméstico</v>
      </c>
      <c r="C4812" s="33" t="s">
        <v>49</v>
      </c>
      <c r="D4812" s="8">
        <v>3</v>
      </c>
      <c r="E4812" s="11">
        <v>1176</v>
      </c>
      <c r="F4812" s="10">
        <f t="shared" ca="1" si="75"/>
        <v>3528</v>
      </c>
    </row>
    <row r="4813" spans="1:6" x14ac:dyDescent="0.25">
      <c r="A4813" s="8">
        <v>52121604</v>
      </c>
      <c r="B4813" s="9" t="str">
        <f t="shared" ca="1" si="74"/>
        <v>Manteles</v>
      </c>
      <c r="C4813" s="33" t="s">
        <v>55</v>
      </c>
      <c r="D4813" s="8">
        <v>10</v>
      </c>
      <c r="E4813" s="11">
        <v>720</v>
      </c>
      <c r="F4813" s="10">
        <f t="shared" ca="1" si="75"/>
        <v>7200</v>
      </c>
    </row>
    <row r="4814" spans="1:6" x14ac:dyDescent="0.25">
      <c r="A4814" s="8">
        <v>52152103</v>
      </c>
      <c r="B4814" s="9" t="str">
        <f t="shared" ca="1" si="74"/>
        <v>Tazones (“mugs”) para uso doméstico</v>
      </c>
      <c r="C4814" s="33" t="s">
        <v>55</v>
      </c>
      <c r="D4814" s="8">
        <v>10</v>
      </c>
      <c r="E4814" s="11">
        <v>863.99</v>
      </c>
      <c r="F4814" s="10">
        <f t="shared" ca="1" si="75"/>
        <v>8639.9</v>
      </c>
    </row>
    <row r="4815" spans="1:6" x14ac:dyDescent="0.25">
      <c r="A4815" s="40"/>
      <c r="B4815" s="40"/>
      <c r="C4815" s="40"/>
      <c r="D4815" s="40"/>
      <c r="E4815" s="13" t="s">
        <v>87</v>
      </c>
      <c r="F4815" s="14">
        <f ca="1">SUM(Table3111173[MONTO TOTAL ESTIMADO])</f>
        <v>129797.7</v>
      </c>
    </row>
    <row r="4816" spans="1:6" ht="15.75" thickBot="1" x14ac:dyDescent="0.3">
      <c r="A4816" s="42"/>
      <c r="B4816" s="42"/>
      <c r="C4816" s="42"/>
      <c r="D4816" s="42"/>
      <c r="E4816" s="42"/>
      <c r="F4816" s="42"/>
    </row>
    <row r="4817" spans="1:6" ht="23.25" thickBot="1" x14ac:dyDescent="0.3">
      <c r="A4817" s="4" t="s">
        <v>19</v>
      </c>
      <c r="B4817" s="4" t="s">
        <v>20</v>
      </c>
      <c r="C4817" s="4" t="s">
        <v>21</v>
      </c>
      <c r="D4817" s="4" t="s">
        <v>22</v>
      </c>
      <c r="E4817" s="4" t="s">
        <v>23</v>
      </c>
      <c r="F4817" s="4" t="s">
        <v>24</v>
      </c>
    </row>
    <row r="4818" spans="1:6" ht="15.75" thickBot="1" x14ac:dyDescent="0.3">
      <c r="A4818" s="32" t="s">
        <v>427</v>
      </c>
      <c r="B4818" s="32" t="s">
        <v>225</v>
      </c>
      <c r="C4818" s="32" t="s">
        <v>27</v>
      </c>
      <c r="D4818" s="6" t="s">
        <v>28</v>
      </c>
      <c r="E4818" s="6" t="s">
        <v>262</v>
      </c>
      <c r="F4818" s="6"/>
    </row>
    <row r="4819" spans="1:6" ht="15.75" thickBot="1" x14ac:dyDescent="0.3">
      <c r="A4819" s="35" t="s">
        <v>31</v>
      </c>
      <c r="B4819" s="7" t="s">
        <v>32</v>
      </c>
      <c r="C4819" s="15">
        <v>45474</v>
      </c>
      <c r="D4819" s="35" t="s">
        <v>33</v>
      </c>
      <c r="E4819" s="7" t="s">
        <v>34</v>
      </c>
      <c r="F4819" s="6"/>
    </row>
    <row r="4820" spans="1:6" ht="15.75" thickBot="1" x14ac:dyDescent="0.3">
      <c r="A4820" s="36"/>
      <c r="B4820" s="7" t="s">
        <v>36</v>
      </c>
      <c r="C4820" s="5">
        <f>IF(C4819="","",IF(AND(MONTH(C4819)&gt;=1,MONTH(C4819)&lt;=3),1,IF(AND(MONTH(C4819)&gt;=4,MONTH(C4819)&lt;=6),2,IF(AND(MONTH(C4819)&gt;=7,MONTH(C4819)&lt;=9),3,4))))</f>
        <v>3</v>
      </c>
      <c r="D4820" s="36"/>
      <c r="E4820" s="7" t="s">
        <v>37</v>
      </c>
      <c r="F4820" s="6"/>
    </row>
    <row r="4821" spans="1:6" ht="15.75" thickBot="1" x14ac:dyDescent="0.3">
      <c r="A4821" s="36"/>
      <c r="B4821" s="7" t="s">
        <v>39</v>
      </c>
      <c r="C4821" s="15">
        <v>45565</v>
      </c>
      <c r="D4821" s="36"/>
      <c r="E4821" s="7" t="s">
        <v>40</v>
      </c>
      <c r="F4821" s="6"/>
    </row>
    <row r="4822" spans="1:6" ht="15.75" thickBot="1" x14ac:dyDescent="0.3">
      <c r="A4822" s="36"/>
      <c r="B4822" s="7" t="s">
        <v>36</v>
      </c>
      <c r="C4822" s="5">
        <f>IF(C4821="","",IF(AND(MONTH(C4821)&gt;=1,MONTH(C4821)&lt;=3),1,IF(AND(MONTH(C4821)&gt;=4,MONTH(C4821)&lt;=6),2,IF(AND(MONTH(C4821)&gt;=7,MONTH(C4821)&lt;=9),3,4))))</f>
        <v>3</v>
      </c>
      <c r="D4822" s="36"/>
      <c r="E4822" s="7" t="s">
        <v>41</v>
      </c>
      <c r="F4822" s="6"/>
    </row>
    <row r="4823" spans="1:6" ht="15.75" thickBot="1" x14ac:dyDescent="0.3">
      <c r="A4823" s="40"/>
      <c r="B4823" s="40"/>
      <c r="C4823" s="40"/>
      <c r="D4823" s="40"/>
      <c r="E4823" s="40"/>
      <c r="F4823" s="40"/>
    </row>
    <row r="4824" spans="1:6" ht="15.75" thickBot="1" x14ac:dyDescent="0.3">
      <c r="A4824" s="12" t="s">
        <v>42</v>
      </c>
      <c r="B4824" s="12" t="s">
        <v>43</v>
      </c>
      <c r="C4824" s="12" t="s">
        <v>44</v>
      </c>
      <c r="D4824" s="12" t="s">
        <v>45</v>
      </c>
      <c r="E4824" s="12" t="s">
        <v>46</v>
      </c>
      <c r="F4824" s="12" t="s">
        <v>47</v>
      </c>
    </row>
    <row r="4825" spans="1:6" x14ac:dyDescent="0.25">
      <c r="A4825" s="8">
        <v>44121615</v>
      </c>
      <c r="B4825" s="9" t="str">
        <f t="shared" ref="B4825:B4848" ca="1" si="76">IFERROR(INDEX(UNSPSCDes,MATCH(INDIRECT(ADDRESS(ROW(),COLUMN()-1,4)),UNSPSCCode,0)),"")</f>
        <v>Grapadoras</v>
      </c>
      <c r="C4825" s="33" t="s">
        <v>55</v>
      </c>
      <c r="D4825" s="8">
        <v>60</v>
      </c>
      <c r="E4825" s="11">
        <v>147.5</v>
      </c>
      <c r="F4825" s="10">
        <f t="shared" ref="F4825:F4848" ca="1" si="77">INDIRECT(ADDRESS(ROW(),COLUMN()-2,4))*INDIRECT(ADDRESS(ROW(),COLUMN()-1,4))</f>
        <v>8850</v>
      </c>
    </row>
    <row r="4826" spans="1:6" x14ac:dyDescent="0.25">
      <c r="A4826" s="8">
        <v>44121613</v>
      </c>
      <c r="B4826" s="9" t="str">
        <f t="shared" ca="1" si="76"/>
        <v>Removedores de grapas (saca ganchos)</v>
      </c>
      <c r="C4826" s="33" t="s">
        <v>55</v>
      </c>
      <c r="D4826" s="8">
        <v>60</v>
      </c>
      <c r="E4826" s="11">
        <v>30.68</v>
      </c>
      <c r="F4826" s="10">
        <f t="shared" ca="1" si="77"/>
        <v>1840.8</v>
      </c>
    </row>
    <row r="4827" spans="1:6" x14ac:dyDescent="0.25">
      <c r="A4827" s="8">
        <v>44122104</v>
      </c>
      <c r="B4827" s="9" t="str">
        <f t="shared" ca="1" si="76"/>
        <v>Clips para papel</v>
      </c>
      <c r="C4827" s="8" t="s">
        <v>49</v>
      </c>
      <c r="D4827" s="8">
        <v>120</v>
      </c>
      <c r="E4827" s="11">
        <v>18.88</v>
      </c>
      <c r="F4827" s="10">
        <f t="shared" ca="1" si="77"/>
        <v>2265.6</v>
      </c>
    </row>
    <row r="4828" spans="1:6" x14ac:dyDescent="0.25">
      <c r="A4828" s="8">
        <v>44122104</v>
      </c>
      <c r="B4828" s="9" t="str">
        <f t="shared" ca="1" si="76"/>
        <v>Clips para papel</v>
      </c>
      <c r="C4828" s="33" t="s">
        <v>49</v>
      </c>
      <c r="D4828" s="8">
        <v>120</v>
      </c>
      <c r="E4828" s="11">
        <v>41.3</v>
      </c>
      <c r="F4828" s="10">
        <f t="shared" ca="1" si="77"/>
        <v>4956</v>
      </c>
    </row>
    <row r="4829" spans="1:6" x14ac:dyDescent="0.25">
      <c r="A4829" s="8">
        <v>44121701</v>
      </c>
      <c r="B4829" s="9" t="str">
        <f t="shared" ca="1" si="76"/>
        <v>Bolígrafos</v>
      </c>
      <c r="C4829" s="33" t="s">
        <v>49</v>
      </c>
      <c r="D4829" s="8">
        <v>60</v>
      </c>
      <c r="E4829" s="11">
        <v>72</v>
      </c>
      <c r="F4829" s="10">
        <f t="shared" ca="1" si="77"/>
        <v>4320</v>
      </c>
    </row>
    <row r="4830" spans="1:6" x14ac:dyDescent="0.25">
      <c r="A4830" s="8">
        <v>14111507</v>
      </c>
      <c r="B4830" s="9" t="str">
        <f t="shared" ca="1" si="76"/>
        <v>Papel para impresora o fotocopiadora</v>
      </c>
      <c r="C4830" s="8" t="s">
        <v>51</v>
      </c>
      <c r="D4830" s="8">
        <v>120</v>
      </c>
      <c r="E4830" s="11">
        <v>344.5</v>
      </c>
      <c r="F4830" s="10">
        <f t="shared" ca="1" si="77"/>
        <v>41340</v>
      </c>
    </row>
    <row r="4831" spans="1:6" x14ac:dyDescent="0.25">
      <c r="A4831" s="8">
        <v>14111507</v>
      </c>
      <c r="B4831" s="9" t="str">
        <f t="shared" ca="1" si="76"/>
        <v>Papel para impresora o fotocopiadora</v>
      </c>
      <c r="C4831" s="33" t="s">
        <v>51</v>
      </c>
      <c r="D4831" s="8">
        <v>480</v>
      </c>
      <c r="E4831" s="11">
        <v>226.56</v>
      </c>
      <c r="F4831" s="10">
        <f t="shared" ca="1" si="77"/>
        <v>108748.8</v>
      </c>
    </row>
    <row r="4832" spans="1:6" x14ac:dyDescent="0.25">
      <c r="A4832" s="8">
        <v>44121506</v>
      </c>
      <c r="B4832" s="9" t="str">
        <f t="shared" ca="1" si="76"/>
        <v>Sobres estándar</v>
      </c>
      <c r="C4832" s="33" t="s">
        <v>49</v>
      </c>
      <c r="D4832" s="8">
        <v>240</v>
      </c>
      <c r="E4832" s="11">
        <v>3304</v>
      </c>
      <c r="F4832" s="10">
        <f t="shared" ca="1" si="77"/>
        <v>792960</v>
      </c>
    </row>
    <row r="4833" spans="1:6" x14ac:dyDescent="0.25">
      <c r="A4833" s="8">
        <v>44121506</v>
      </c>
      <c r="B4833" s="9" t="str">
        <f t="shared" ca="1" si="76"/>
        <v>Sobres estándar</v>
      </c>
      <c r="C4833" s="33" t="s">
        <v>49</v>
      </c>
      <c r="D4833" s="8">
        <v>60</v>
      </c>
      <c r="E4833" s="11">
        <v>3037.32</v>
      </c>
      <c r="F4833" s="10">
        <f t="shared" ca="1" si="77"/>
        <v>182239.2</v>
      </c>
    </row>
    <row r="4834" spans="1:6" x14ac:dyDescent="0.25">
      <c r="A4834" s="8">
        <v>44121506</v>
      </c>
      <c r="B4834" s="9" t="str">
        <f t="shared" ca="1" si="76"/>
        <v>Sobres estándar</v>
      </c>
      <c r="C4834" s="33" t="s">
        <v>49</v>
      </c>
      <c r="D4834" s="8">
        <v>60</v>
      </c>
      <c r="E4834" s="11">
        <v>2676.24</v>
      </c>
      <c r="F4834" s="10">
        <f t="shared" ca="1" si="77"/>
        <v>160574.39999999999</v>
      </c>
    </row>
    <row r="4835" spans="1:6" x14ac:dyDescent="0.25">
      <c r="A4835" s="8">
        <v>44122011</v>
      </c>
      <c r="B4835" s="9" t="str">
        <f t="shared" ca="1" si="76"/>
        <v>Folders</v>
      </c>
      <c r="C4835" s="33" t="s">
        <v>49</v>
      </c>
      <c r="D4835" s="8">
        <v>120</v>
      </c>
      <c r="E4835" s="11">
        <v>254.88</v>
      </c>
      <c r="F4835" s="10">
        <f t="shared" ca="1" si="77"/>
        <v>30585.599999999999</v>
      </c>
    </row>
    <row r="4836" spans="1:6" x14ac:dyDescent="0.25">
      <c r="A4836" s="8">
        <v>14111807</v>
      </c>
      <c r="B4836" s="9" t="str">
        <f t="shared" ca="1" si="76"/>
        <v>Libros comerciales para múltiples usos</v>
      </c>
      <c r="C4836" s="33" t="s">
        <v>55</v>
      </c>
      <c r="D4836" s="8">
        <v>60</v>
      </c>
      <c r="E4836" s="11">
        <v>230.1</v>
      </c>
      <c r="F4836" s="10">
        <f t="shared" ca="1" si="77"/>
        <v>13806</v>
      </c>
    </row>
    <row r="4837" spans="1:6" x14ac:dyDescent="0.25">
      <c r="A4837" s="8">
        <v>14111526</v>
      </c>
      <c r="B4837" s="9" t="str">
        <f t="shared" ca="1" si="76"/>
        <v>Papel libretas o libros de mensajes telefónicos</v>
      </c>
      <c r="C4837" s="33" t="s">
        <v>55</v>
      </c>
      <c r="D4837" s="8">
        <v>120</v>
      </c>
      <c r="E4837" s="11">
        <v>30.68</v>
      </c>
      <c r="F4837" s="10">
        <f t="shared" ca="1" si="77"/>
        <v>3681.6</v>
      </c>
    </row>
    <row r="4838" spans="1:6" x14ac:dyDescent="0.25">
      <c r="A4838" s="8">
        <v>14111526</v>
      </c>
      <c r="B4838" s="9" t="str">
        <f t="shared" ca="1" si="76"/>
        <v>Papel libretas o libros de mensajes telefónicos</v>
      </c>
      <c r="C4838" s="33" t="s">
        <v>55</v>
      </c>
      <c r="D4838" s="8">
        <v>120</v>
      </c>
      <c r="E4838" s="11">
        <v>18.88</v>
      </c>
      <c r="F4838" s="10">
        <f t="shared" ca="1" si="77"/>
        <v>2265.6</v>
      </c>
    </row>
    <row r="4839" spans="1:6" x14ac:dyDescent="0.25">
      <c r="A4839" s="8">
        <v>14111514</v>
      </c>
      <c r="B4839" s="9" t="str">
        <f t="shared" ca="1" si="76"/>
        <v>Blocs o cuadernos de papel</v>
      </c>
      <c r="C4839" s="33" t="s">
        <v>55</v>
      </c>
      <c r="D4839" s="8">
        <v>240</v>
      </c>
      <c r="E4839" s="11">
        <v>46.02</v>
      </c>
      <c r="F4839" s="10">
        <f t="shared" ca="1" si="77"/>
        <v>11044.800000000001</v>
      </c>
    </row>
    <row r="4840" spans="1:6" x14ac:dyDescent="0.25">
      <c r="A4840" s="8">
        <v>44121708</v>
      </c>
      <c r="B4840" s="9" t="str">
        <f t="shared" ca="1" si="76"/>
        <v>Marcadores</v>
      </c>
      <c r="C4840" s="33" t="s">
        <v>55</v>
      </c>
      <c r="D4840" s="8">
        <v>180</v>
      </c>
      <c r="E4840" s="11">
        <v>12.98</v>
      </c>
      <c r="F4840" s="10">
        <f t="shared" ca="1" si="77"/>
        <v>2336.4</v>
      </c>
    </row>
    <row r="4841" spans="1:6" x14ac:dyDescent="0.25">
      <c r="A4841" s="8">
        <v>44121708</v>
      </c>
      <c r="B4841" s="9" t="str">
        <f t="shared" ca="1" si="76"/>
        <v>Marcadores</v>
      </c>
      <c r="C4841" s="33" t="s">
        <v>55</v>
      </c>
      <c r="D4841" s="8">
        <v>300</v>
      </c>
      <c r="E4841" s="11">
        <v>22.42</v>
      </c>
      <c r="F4841" s="10">
        <f t="shared" ca="1" si="77"/>
        <v>6726.0000000000009</v>
      </c>
    </row>
    <row r="4842" spans="1:6" x14ac:dyDescent="0.25">
      <c r="A4842" s="8">
        <v>44121804</v>
      </c>
      <c r="B4842" s="9" t="str">
        <f t="shared" ca="1" si="76"/>
        <v>Borradores</v>
      </c>
      <c r="C4842" s="33" t="s">
        <v>55</v>
      </c>
      <c r="D4842" s="8">
        <v>80</v>
      </c>
      <c r="E4842" s="11">
        <v>37.76</v>
      </c>
      <c r="F4842" s="10">
        <f t="shared" ca="1" si="77"/>
        <v>3020.7999999999997</v>
      </c>
    </row>
    <row r="4843" spans="1:6" x14ac:dyDescent="0.25">
      <c r="A4843" s="8">
        <v>31201512</v>
      </c>
      <c r="B4843" s="9" t="str">
        <f t="shared" ca="1" si="76"/>
        <v>Cinta transparente</v>
      </c>
      <c r="C4843" s="33" t="s">
        <v>55</v>
      </c>
      <c r="D4843" s="8">
        <v>120</v>
      </c>
      <c r="E4843" s="11">
        <v>11.59</v>
      </c>
      <c r="F4843" s="10">
        <f t="shared" ca="1" si="77"/>
        <v>1390.8</v>
      </c>
    </row>
    <row r="4844" spans="1:6" x14ac:dyDescent="0.25">
      <c r="A4844" s="8">
        <v>31201512</v>
      </c>
      <c r="B4844" s="9" t="str">
        <f t="shared" ca="1" si="76"/>
        <v>Cinta transparente</v>
      </c>
      <c r="C4844" s="33" t="s">
        <v>55</v>
      </c>
      <c r="D4844" s="8">
        <v>120</v>
      </c>
      <c r="E4844" s="11">
        <v>59</v>
      </c>
      <c r="F4844" s="10">
        <f t="shared" ca="1" si="77"/>
        <v>7080</v>
      </c>
    </row>
    <row r="4845" spans="1:6" x14ac:dyDescent="0.25">
      <c r="A4845" s="8">
        <v>44122101</v>
      </c>
      <c r="B4845" s="9" t="str">
        <f t="shared" ca="1" si="76"/>
        <v>Cauchos</v>
      </c>
      <c r="C4845" s="33" t="s">
        <v>49</v>
      </c>
      <c r="D4845" s="8">
        <v>60</v>
      </c>
      <c r="E4845" s="11">
        <v>28.32</v>
      </c>
      <c r="F4845" s="10">
        <f t="shared" ca="1" si="77"/>
        <v>1699.2</v>
      </c>
    </row>
    <row r="4846" spans="1:6" x14ac:dyDescent="0.25">
      <c r="A4846" s="8">
        <v>44121802</v>
      </c>
      <c r="B4846" s="9" t="str">
        <f t="shared" ca="1" si="76"/>
        <v>Fluido de corrección</v>
      </c>
      <c r="C4846" s="33" t="s">
        <v>55</v>
      </c>
      <c r="D4846" s="8">
        <v>50</v>
      </c>
      <c r="E4846" s="11">
        <v>24.78</v>
      </c>
      <c r="F4846" s="10">
        <f t="shared" ca="1" si="77"/>
        <v>1239</v>
      </c>
    </row>
    <row r="4847" spans="1:6" x14ac:dyDescent="0.25">
      <c r="A4847" s="8">
        <v>44122105</v>
      </c>
      <c r="B4847" s="9" t="str">
        <f t="shared" ca="1" si="76"/>
        <v>Clips para carpetas o bulldog</v>
      </c>
      <c r="C4847" s="33" t="s">
        <v>49</v>
      </c>
      <c r="D4847" s="8">
        <v>36</v>
      </c>
      <c r="E4847" s="11">
        <v>68.44</v>
      </c>
      <c r="F4847" s="10">
        <f t="shared" ca="1" si="77"/>
        <v>2463.84</v>
      </c>
    </row>
    <row r="4848" spans="1:6" x14ac:dyDescent="0.25">
      <c r="A4848" s="8">
        <v>44101603</v>
      </c>
      <c r="B4848" s="9" t="str">
        <f t="shared" ca="1" si="76"/>
        <v>Máquinas trituradoras de papel o accesorios</v>
      </c>
      <c r="C4848" s="33" t="s">
        <v>55</v>
      </c>
      <c r="D4848" s="8">
        <v>2</v>
      </c>
      <c r="E4848" s="11">
        <v>27268.62</v>
      </c>
      <c r="F4848" s="10">
        <f t="shared" ca="1" si="77"/>
        <v>54537.24</v>
      </c>
    </row>
    <row r="4849" spans="1:6" x14ac:dyDescent="0.25">
      <c r="A4849" s="40"/>
      <c r="B4849" s="40"/>
      <c r="C4849" s="40"/>
      <c r="D4849" s="40"/>
      <c r="E4849" s="13" t="s">
        <v>87</v>
      </c>
      <c r="F4849" s="14">
        <f ca="1">SUM(Table3112174[MONTO TOTAL ESTIMADO])</f>
        <v>1449971.6800000002</v>
      </c>
    </row>
    <row r="4850" spans="1:6" ht="15.75" thickBot="1" x14ac:dyDescent="0.3">
      <c r="A4850" s="42"/>
      <c r="B4850" s="42"/>
      <c r="C4850" s="42"/>
      <c r="D4850" s="42"/>
      <c r="E4850" s="42"/>
      <c r="F4850" s="42"/>
    </row>
    <row r="4851" spans="1:6" ht="23.25" thickBot="1" x14ac:dyDescent="0.3">
      <c r="A4851" s="4" t="s">
        <v>19</v>
      </c>
      <c r="B4851" s="4" t="s">
        <v>20</v>
      </c>
      <c r="C4851" s="4" t="s">
        <v>21</v>
      </c>
      <c r="D4851" s="4" t="s">
        <v>22</v>
      </c>
      <c r="E4851" s="4" t="s">
        <v>23</v>
      </c>
      <c r="F4851" s="4" t="s">
        <v>24</v>
      </c>
    </row>
    <row r="4852" spans="1:6" ht="15.75" thickBot="1" x14ac:dyDescent="0.3">
      <c r="A4852" s="32" t="s">
        <v>434</v>
      </c>
      <c r="B4852" s="32" t="s">
        <v>435</v>
      </c>
      <c r="C4852" s="32" t="s">
        <v>27</v>
      </c>
      <c r="D4852" s="6" t="s">
        <v>28</v>
      </c>
      <c r="E4852" s="6" t="s">
        <v>262</v>
      </c>
      <c r="F4852" s="6"/>
    </row>
    <row r="4853" spans="1:6" ht="15.75" thickBot="1" x14ac:dyDescent="0.3">
      <c r="A4853" s="35" t="s">
        <v>31</v>
      </c>
      <c r="B4853" s="7" t="s">
        <v>32</v>
      </c>
      <c r="C4853" s="15">
        <v>45474</v>
      </c>
      <c r="D4853" s="35" t="s">
        <v>33</v>
      </c>
      <c r="E4853" s="7" t="s">
        <v>34</v>
      </c>
      <c r="F4853" s="6"/>
    </row>
    <row r="4854" spans="1:6" ht="15.75" thickBot="1" x14ac:dyDescent="0.3">
      <c r="A4854" s="36"/>
      <c r="B4854" s="7" t="s">
        <v>36</v>
      </c>
      <c r="C4854" s="5">
        <f>IF(C4853="","",IF(AND(MONTH(C4853)&gt;=1,MONTH(C4853)&lt;=3),1,IF(AND(MONTH(C4853)&gt;=4,MONTH(C4853)&lt;=6),2,IF(AND(MONTH(C4853)&gt;=7,MONTH(C4853)&lt;=9),3,4))))</f>
        <v>3</v>
      </c>
      <c r="D4854" s="36"/>
      <c r="E4854" s="7" t="s">
        <v>37</v>
      </c>
      <c r="F4854" s="6"/>
    </row>
    <row r="4855" spans="1:6" ht="15.75" thickBot="1" x14ac:dyDescent="0.3">
      <c r="A4855" s="36"/>
      <c r="B4855" s="7" t="s">
        <v>39</v>
      </c>
      <c r="C4855" s="15">
        <v>45565</v>
      </c>
      <c r="D4855" s="36"/>
      <c r="E4855" s="7" t="s">
        <v>40</v>
      </c>
      <c r="F4855" s="6"/>
    </row>
    <row r="4856" spans="1:6" ht="15.75" thickBot="1" x14ac:dyDescent="0.3">
      <c r="A4856" s="36"/>
      <c r="B4856" s="7" t="s">
        <v>36</v>
      </c>
      <c r="C4856" s="5">
        <f>IF(C4855="","",IF(AND(MONTH(C4855)&gt;=1,MONTH(C4855)&lt;=3),1,IF(AND(MONTH(C4855)&gt;=4,MONTH(C4855)&lt;=6),2,IF(AND(MONTH(C4855)&gt;=7,MONTH(C4855)&lt;=9),3,4))))</f>
        <v>3</v>
      </c>
      <c r="D4856" s="36"/>
      <c r="E4856" s="7" t="s">
        <v>41</v>
      </c>
      <c r="F4856" s="6"/>
    </row>
    <row r="4857" spans="1:6" ht="15.75" thickBot="1" x14ac:dyDescent="0.3">
      <c r="A4857" s="40"/>
      <c r="B4857" s="40"/>
      <c r="C4857" s="40"/>
      <c r="D4857" s="40"/>
      <c r="E4857" s="40"/>
      <c r="F4857" s="40"/>
    </row>
    <row r="4858" spans="1:6" ht="15.75" thickBot="1" x14ac:dyDescent="0.3">
      <c r="A4858" s="12" t="s">
        <v>42</v>
      </c>
      <c r="B4858" s="12" t="s">
        <v>43</v>
      </c>
      <c r="C4858" s="12" t="s">
        <v>44</v>
      </c>
      <c r="D4858" s="12" t="s">
        <v>45</v>
      </c>
      <c r="E4858" s="12" t="s">
        <v>46</v>
      </c>
      <c r="F4858" s="12" t="s">
        <v>47</v>
      </c>
    </row>
    <row r="4859" spans="1:6" x14ac:dyDescent="0.25">
      <c r="A4859" s="8">
        <v>40161502</v>
      </c>
      <c r="B4859" s="9" t="str">
        <f ca="1">IFERROR(INDEX(UNSPSCDes,MATCH(INDIRECT(ADDRESS(ROW(),COLUMN()-1,4)),UNSPSCCode,0)),"")</f>
        <v>Filtros de agua</v>
      </c>
      <c r="C4859" s="8" t="s">
        <v>55</v>
      </c>
      <c r="D4859" s="8">
        <v>50</v>
      </c>
      <c r="E4859" s="11">
        <v>259.60000000000002</v>
      </c>
      <c r="F4859" s="10">
        <f ca="1">INDIRECT(ADDRESS(ROW(),COLUMN()-2,4))*INDIRECT(ADDRESS(ROW(),COLUMN()-1,4))</f>
        <v>12980.000000000002</v>
      </c>
    </row>
    <row r="4860" spans="1:6" x14ac:dyDescent="0.25">
      <c r="A4860" s="8">
        <v>40161505</v>
      </c>
      <c r="B4860" s="9" t="str">
        <f ca="1">IFERROR(INDEX(UNSPSCDes,MATCH(INDIRECT(ADDRESS(ROW(),COLUMN()-1,4)),UNSPSCCode,0)),"")</f>
        <v>Filtros de aire</v>
      </c>
      <c r="C4860" s="33" t="s">
        <v>55</v>
      </c>
      <c r="D4860" s="8">
        <v>4</v>
      </c>
      <c r="E4860" s="11">
        <v>18946.080000000002</v>
      </c>
      <c r="F4860" s="10">
        <f ca="1">INDIRECT(ADDRESS(ROW(),COLUMN()-2,4))*INDIRECT(ADDRESS(ROW(),COLUMN()-1,4))</f>
        <v>75784.320000000007</v>
      </c>
    </row>
    <row r="4861" spans="1:6" x14ac:dyDescent="0.25">
      <c r="A4861" s="8">
        <v>40161504</v>
      </c>
      <c r="B4861" s="9" t="str">
        <f ca="1">IFERROR(INDEX(UNSPSCDes,MATCH(INDIRECT(ADDRESS(ROW(),COLUMN()-1,4)),UNSPSCCode,0)),"")</f>
        <v>Filtros de aceite</v>
      </c>
      <c r="C4861" s="33" t="s">
        <v>55</v>
      </c>
      <c r="D4861" s="8">
        <v>50</v>
      </c>
      <c r="E4861" s="11">
        <v>1416</v>
      </c>
      <c r="F4861" s="10">
        <f ca="1">INDIRECT(ADDRESS(ROW(),COLUMN()-2,4))*INDIRECT(ADDRESS(ROW(),COLUMN()-1,4))</f>
        <v>70800</v>
      </c>
    </row>
    <row r="4862" spans="1:6" x14ac:dyDescent="0.25">
      <c r="A4862" s="8">
        <v>15121501</v>
      </c>
      <c r="B4862" s="9" t="str">
        <f ca="1">IFERROR(INDEX(UNSPSCDes,MATCH(INDIRECT(ADDRESS(ROW(),COLUMN()-1,4)),UNSPSCCode,0)),"")</f>
        <v>Aceite motor</v>
      </c>
      <c r="C4862" s="33" t="s">
        <v>55</v>
      </c>
      <c r="D4862" s="8">
        <v>15</v>
      </c>
      <c r="E4862" s="11">
        <v>49560</v>
      </c>
      <c r="F4862" s="10">
        <f ca="1">INDIRECT(ADDRESS(ROW(),COLUMN()-2,4))*INDIRECT(ADDRESS(ROW(),COLUMN()-1,4))</f>
        <v>743400</v>
      </c>
    </row>
    <row r="4863" spans="1:6" x14ac:dyDescent="0.25">
      <c r="A4863" s="8">
        <v>40151506</v>
      </c>
      <c r="B4863" s="9" t="str">
        <f ca="1">IFERROR(INDEX(UNSPSCDes,MATCH(INDIRECT(ADDRESS(ROW(),COLUMN()-1,4)),UNSPSCCode,0)),"")</f>
        <v>Bombas de mano</v>
      </c>
      <c r="C4863" s="33" t="s">
        <v>55</v>
      </c>
      <c r="D4863" s="8">
        <v>2</v>
      </c>
      <c r="E4863" s="11">
        <v>7708.94</v>
      </c>
      <c r="F4863" s="10">
        <f ca="1">INDIRECT(ADDRESS(ROW(),COLUMN()-2,4))*INDIRECT(ADDRESS(ROW(),COLUMN()-1,4))</f>
        <v>15417.88</v>
      </c>
    </row>
    <row r="4864" spans="1:6" x14ac:dyDescent="0.25">
      <c r="A4864" s="40"/>
      <c r="B4864" s="40"/>
      <c r="C4864" s="40"/>
      <c r="D4864" s="40"/>
      <c r="E4864" s="13" t="s">
        <v>87</v>
      </c>
      <c r="F4864" s="14">
        <f ca="1">SUM(Table3113175[MONTO TOTAL ESTIMADO])</f>
        <v>918382.20000000007</v>
      </c>
    </row>
    <row r="4865" spans="1:6" ht="15.75" thickBot="1" x14ac:dyDescent="0.3">
      <c r="A4865" s="42"/>
      <c r="B4865" s="42"/>
      <c r="C4865" s="42"/>
      <c r="D4865" s="42"/>
      <c r="E4865" s="42"/>
      <c r="F4865" s="42"/>
    </row>
    <row r="4866" spans="1:6" ht="23.25" thickBot="1" x14ac:dyDescent="0.3">
      <c r="A4866" s="4" t="s">
        <v>19</v>
      </c>
      <c r="B4866" s="4" t="s">
        <v>20</v>
      </c>
      <c r="C4866" s="4" t="s">
        <v>21</v>
      </c>
      <c r="D4866" s="4" t="s">
        <v>22</v>
      </c>
      <c r="E4866" s="4" t="s">
        <v>23</v>
      </c>
      <c r="F4866" s="4" t="s">
        <v>24</v>
      </c>
    </row>
    <row r="4867" spans="1:6" ht="15.75" thickBot="1" x14ac:dyDescent="0.3">
      <c r="A4867" s="32" t="s">
        <v>439</v>
      </c>
      <c r="B4867" s="32" t="s">
        <v>440</v>
      </c>
      <c r="C4867" s="32" t="s">
        <v>27</v>
      </c>
      <c r="D4867" s="6" t="s">
        <v>28</v>
      </c>
      <c r="E4867" s="6" t="s">
        <v>262</v>
      </c>
      <c r="F4867" s="6"/>
    </row>
    <row r="4868" spans="1:6" ht="15.75" thickBot="1" x14ac:dyDescent="0.3">
      <c r="A4868" s="35" t="s">
        <v>31</v>
      </c>
      <c r="B4868" s="7" t="s">
        <v>32</v>
      </c>
      <c r="C4868" s="15">
        <v>45474</v>
      </c>
      <c r="D4868" s="35" t="s">
        <v>33</v>
      </c>
      <c r="E4868" s="7" t="s">
        <v>34</v>
      </c>
      <c r="F4868" s="6"/>
    </row>
    <row r="4869" spans="1:6" ht="15.75" thickBot="1" x14ac:dyDescent="0.3">
      <c r="A4869" s="36"/>
      <c r="B4869" s="7" t="s">
        <v>36</v>
      </c>
      <c r="C4869" s="5">
        <f>IF(C4868="","",IF(AND(MONTH(C4868)&gt;=1,MONTH(C4868)&lt;=3),1,IF(AND(MONTH(C4868)&gt;=4,MONTH(C4868)&lt;=6),2,IF(AND(MONTH(C4868)&gt;=7,MONTH(C4868)&lt;=9),3,4))))</f>
        <v>3</v>
      </c>
      <c r="D4869" s="36"/>
      <c r="E4869" s="7" t="s">
        <v>37</v>
      </c>
      <c r="F4869" s="6"/>
    </row>
    <row r="4870" spans="1:6" ht="15.75" thickBot="1" x14ac:dyDescent="0.3">
      <c r="A4870" s="36"/>
      <c r="B4870" s="7" t="s">
        <v>39</v>
      </c>
      <c r="C4870" s="15">
        <v>45565</v>
      </c>
      <c r="D4870" s="36"/>
      <c r="E4870" s="7" t="s">
        <v>40</v>
      </c>
      <c r="F4870" s="6"/>
    </row>
    <row r="4871" spans="1:6" ht="15.75" thickBot="1" x14ac:dyDescent="0.3">
      <c r="A4871" s="36"/>
      <c r="B4871" s="7" t="s">
        <v>36</v>
      </c>
      <c r="C4871" s="5">
        <f>IF(C4870="","",IF(AND(MONTH(C4870)&gt;=1,MONTH(C4870)&lt;=3),1,IF(AND(MONTH(C4870)&gt;=4,MONTH(C4870)&lt;=6),2,IF(AND(MONTH(C4870)&gt;=7,MONTH(C4870)&lt;=9),3,4))))</f>
        <v>3</v>
      </c>
      <c r="D4871" s="36"/>
      <c r="E4871" s="7" t="s">
        <v>41</v>
      </c>
      <c r="F4871" s="6"/>
    </row>
    <row r="4872" spans="1:6" ht="15.75" thickBot="1" x14ac:dyDescent="0.3">
      <c r="A4872" s="40"/>
      <c r="B4872" s="40"/>
      <c r="C4872" s="40"/>
      <c r="D4872" s="40"/>
      <c r="E4872" s="40"/>
      <c r="F4872" s="40"/>
    </row>
    <row r="4873" spans="1:6" ht="15.75" thickBot="1" x14ac:dyDescent="0.3">
      <c r="A4873" s="12" t="s">
        <v>42</v>
      </c>
      <c r="B4873" s="12" t="s">
        <v>43</v>
      </c>
      <c r="C4873" s="12" t="s">
        <v>44</v>
      </c>
      <c r="D4873" s="12" t="s">
        <v>45</v>
      </c>
      <c r="E4873" s="12" t="s">
        <v>46</v>
      </c>
      <c r="F4873" s="12" t="s">
        <v>47</v>
      </c>
    </row>
    <row r="4874" spans="1:6" x14ac:dyDescent="0.25">
      <c r="A4874" s="8">
        <v>47121806</v>
      </c>
      <c r="B4874" s="9" t="str">
        <f ca="1">IFERROR(INDEX(UNSPSCDes,MATCH(INDIRECT(ADDRESS(ROW(),COLUMN()-1,4)),UNSPSCCode,0)),"")</f>
        <v>Escurridor de trapero</v>
      </c>
      <c r="C4874" s="8" t="s">
        <v>55</v>
      </c>
      <c r="D4874" s="8">
        <v>50</v>
      </c>
      <c r="E4874" s="11">
        <v>3481</v>
      </c>
      <c r="F4874" s="10">
        <f ca="1">INDIRECT(ADDRESS(ROW(),COLUMN()-2,4))*INDIRECT(ADDRESS(ROW(),COLUMN()-1,4))</f>
        <v>174050</v>
      </c>
    </row>
    <row r="4875" spans="1:6" x14ac:dyDescent="0.25">
      <c r="A4875" s="8">
        <v>47121806</v>
      </c>
      <c r="B4875" s="9" t="str">
        <f ca="1">IFERROR(INDEX(UNSPSCDes,MATCH(INDIRECT(ADDRESS(ROW(),COLUMN()-1,4)),UNSPSCCode,0)),"")</f>
        <v>Escurridor de trapero</v>
      </c>
      <c r="C4875" s="33" t="s">
        <v>55</v>
      </c>
      <c r="D4875" s="8">
        <v>12</v>
      </c>
      <c r="E4875" s="11">
        <v>8201</v>
      </c>
      <c r="F4875" s="10">
        <f ca="1">INDIRECT(ADDRESS(ROW(),COLUMN()-2,4))*INDIRECT(ADDRESS(ROW(),COLUMN()-1,4))</f>
        <v>98412</v>
      </c>
    </row>
    <row r="4876" spans="1:6" x14ac:dyDescent="0.25">
      <c r="A4876" s="8">
        <v>47121702</v>
      </c>
      <c r="B4876" s="9" t="str">
        <f ca="1">IFERROR(INDEX(UNSPSCDes,MATCH(INDIRECT(ADDRESS(ROW(),COLUMN()-1,4)),UNSPSCCode,0)),"")</f>
        <v>Contenedores de desperdicios o revestimientos rígidos</v>
      </c>
      <c r="C4876" s="33" t="s">
        <v>55</v>
      </c>
      <c r="D4876" s="8">
        <v>50</v>
      </c>
      <c r="E4876" s="11">
        <v>885</v>
      </c>
      <c r="F4876" s="10">
        <f ca="1">INDIRECT(ADDRESS(ROW(),COLUMN()-2,4))*INDIRECT(ADDRESS(ROW(),COLUMN()-1,4))</f>
        <v>44250</v>
      </c>
    </row>
    <row r="4877" spans="1:6" x14ac:dyDescent="0.25">
      <c r="A4877" s="40"/>
      <c r="B4877" s="40"/>
      <c r="C4877" s="40"/>
      <c r="D4877" s="40"/>
      <c r="E4877" s="13" t="s">
        <v>87</v>
      </c>
      <c r="F4877" s="14">
        <f ca="1">SUM(Table3114176[MONTO TOTAL ESTIMADO])</f>
        <v>316712</v>
      </c>
    </row>
    <row r="4878" spans="1:6" ht="15.75" thickBot="1" x14ac:dyDescent="0.3">
      <c r="A4878" s="42"/>
      <c r="B4878" s="42"/>
      <c r="C4878" s="42"/>
      <c r="D4878" s="42"/>
      <c r="E4878" s="42"/>
      <c r="F4878" s="42"/>
    </row>
    <row r="4879" spans="1:6" ht="23.25" thickBot="1" x14ac:dyDescent="0.3">
      <c r="A4879" s="4" t="s">
        <v>19</v>
      </c>
      <c r="B4879" s="4" t="s">
        <v>20</v>
      </c>
      <c r="C4879" s="4" t="s">
        <v>21</v>
      </c>
      <c r="D4879" s="4" t="s">
        <v>22</v>
      </c>
      <c r="E4879" s="4" t="s">
        <v>23</v>
      </c>
      <c r="F4879" s="4" t="s">
        <v>24</v>
      </c>
    </row>
    <row r="4880" spans="1:6" ht="15.75" thickBot="1" x14ac:dyDescent="0.3">
      <c r="A4880" s="32" t="s">
        <v>441</v>
      </c>
      <c r="B4880" s="32" t="s">
        <v>442</v>
      </c>
      <c r="C4880" s="32" t="s">
        <v>27</v>
      </c>
      <c r="D4880" s="6" t="s">
        <v>28</v>
      </c>
      <c r="E4880" s="6" t="s">
        <v>262</v>
      </c>
      <c r="F4880" s="6"/>
    </row>
    <row r="4881" spans="1:6" ht="15.75" thickBot="1" x14ac:dyDescent="0.3">
      <c r="A4881" s="35" t="s">
        <v>31</v>
      </c>
      <c r="B4881" s="7" t="s">
        <v>32</v>
      </c>
      <c r="C4881" s="15">
        <v>45474</v>
      </c>
      <c r="D4881" s="35" t="s">
        <v>33</v>
      </c>
      <c r="E4881" s="7" t="s">
        <v>34</v>
      </c>
      <c r="F4881" s="6"/>
    </row>
    <row r="4882" spans="1:6" ht="15.75" thickBot="1" x14ac:dyDescent="0.3">
      <c r="A4882" s="36"/>
      <c r="B4882" s="7" t="s">
        <v>36</v>
      </c>
      <c r="C4882" s="5">
        <f>IF(C4881="","",IF(AND(MONTH(C4881)&gt;=1,MONTH(C4881)&lt;=3),1,IF(AND(MONTH(C4881)&gt;=4,MONTH(C4881)&lt;=6),2,IF(AND(MONTH(C4881)&gt;=7,MONTH(C4881)&lt;=9),3,4))))</f>
        <v>3</v>
      </c>
      <c r="D4882" s="36"/>
      <c r="E4882" s="7" t="s">
        <v>37</v>
      </c>
      <c r="F4882" s="6"/>
    </row>
    <row r="4883" spans="1:6" ht="15.75" thickBot="1" x14ac:dyDescent="0.3">
      <c r="A4883" s="36"/>
      <c r="B4883" s="7" t="s">
        <v>39</v>
      </c>
      <c r="C4883" s="15">
        <v>45565</v>
      </c>
      <c r="D4883" s="36"/>
      <c r="E4883" s="7" t="s">
        <v>40</v>
      </c>
      <c r="F4883" s="6"/>
    </row>
    <row r="4884" spans="1:6" ht="15.75" thickBot="1" x14ac:dyDescent="0.3">
      <c r="A4884" s="36"/>
      <c r="B4884" s="7" t="s">
        <v>36</v>
      </c>
      <c r="C4884" s="5">
        <f>IF(C4883="","",IF(AND(MONTH(C4883)&gt;=1,MONTH(C4883)&lt;=3),1,IF(AND(MONTH(C4883)&gt;=4,MONTH(C4883)&lt;=6),2,IF(AND(MONTH(C4883)&gt;=7,MONTH(C4883)&lt;=9),3,4))))</f>
        <v>3</v>
      </c>
      <c r="D4884" s="36"/>
      <c r="E4884" s="7" t="s">
        <v>41</v>
      </c>
      <c r="F4884" s="6"/>
    </row>
    <row r="4885" spans="1:6" ht="15.75" thickBot="1" x14ac:dyDescent="0.3">
      <c r="A4885" s="40"/>
      <c r="B4885" s="40"/>
      <c r="C4885" s="40"/>
      <c r="D4885" s="40"/>
      <c r="E4885" s="40"/>
      <c r="F4885" s="40"/>
    </row>
    <row r="4886" spans="1:6" ht="15.75" thickBot="1" x14ac:dyDescent="0.3">
      <c r="A4886" s="12" t="s">
        <v>42</v>
      </c>
      <c r="B4886" s="12" t="s">
        <v>43</v>
      </c>
      <c r="C4886" s="12" t="s">
        <v>44</v>
      </c>
      <c r="D4886" s="12" t="s">
        <v>45</v>
      </c>
      <c r="E4886" s="12" t="s">
        <v>46</v>
      </c>
      <c r="F4886" s="12" t="s">
        <v>47</v>
      </c>
    </row>
    <row r="4887" spans="1:6" x14ac:dyDescent="0.25">
      <c r="A4887" s="8">
        <v>31211508</v>
      </c>
      <c r="B4887" s="9" t="str">
        <f t="shared" ref="B4887:B4893" ca="1" si="78">IFERROR(INDEX(UNSPSCDes,MATCH(INDIRECT(ADDRESS(ROW(),COLUMN()-1,4)),UNSPSCCode,0)),"")</f>
        <v>Pinturas acrílicas</v>
      </c>
      <c r="C4887" s="33" t="s">
        <v>55</v>
      </c>
      <c r="D4887" s="8">
        <v>20</v>
      </c>
      <c r="E4887" s="11">
        <v>2360</v>
      </c>
      <c r="F4887" s="10">
        <f t="shared" ref="F4887:F4893" ca="1" si="79">INDIRECT(ADDRESS(ROW(),COLUMN()-2,4))*INDIRECT(ADDRESS(ROW(),COLUMN()-1,4))</f>
        <v>47200</v>
      </c>
    </row>
    <row r="4888" spans="1:6" x14ac:dyDescent="0.25">
      <c r="A4888" s="8">
        <v>31211508</v>
      </c>
      <c r="B4888" s="9" t="str">
        <f t="shared" ca="1" si="78"/>
        <v>Pinturas acrílicas</v>
      </c>
      <c r="C4888" s="33" t="s">
        <v>55</v>
      </c>
      <c r="D4888" s="8">
        <v>30</v>
      </c>
      <c r="E4888" s="11">
        <v>2596</v>
      </c>
      <c r="F4888" s="10">
        <f t="shared" ca="1" si="79"/>
        <v>77880</v>
      </c>
    </row>
    <row r="4889" spans="1:6" x14ac:dyDescent="0.25">
      <c r="A4889" s="8">
        <v>31211508</v>
      </c>
      <c r="B4889" s="9" t="str">
        <f t="shared" ca="1" si="78"/>
        <v>Pinturas acrílicas</v>
      </c>
      <c r="C4889" s="33" t="s">
        <v>55</v>
      </c>
      <c r="D4889" s="8">
        <v>10</v>
      </c>
      <c r="E4889" s="11">
        <v>2360</v>
      </c>
      <c r="F4889" s="10">
        <f t="shared" ca="1" si="79"/>
        <v>23600</v>
      </c>
    </row>
    <row r="4890" spans="1:6" x14ac:dyDescent="0.25">
      <c r="A4890" s="8">
        <v>31211508</v>
      </c>
      <c r="B4890" s="9" t="str">
        <f t="shared" ca="1" si="78"/>
        <v>Pinturas acrílicas</v>
      </c>
      <c r="C4890" s="33" t="s">
        <v>55</v>
      </c>
      <c r="D4890" s="8">
        <v>30</v>
      </c>
      <c r="E4890" s="11">
        <v>1770</v>
      </c>
      <c r="F4890" s="10">
        <f t="shared" ca="1" si="79"/>
        <v>53100</v>
      </c>
    </row>
    <row r="4891" spans="1:6" x14ac:dyDescent="0.25">
      <c r="A4891" s="8">
        <v>31211508</v>
      </c>
      <c r="B4891" s="9" t="str">
        <f t="shared" ca="1" si="78"/>
        <v>Pinturas acrílicas</v>
      </c>
      <c r="C4891" s="33" t="s">
        <v>55</v>
      </c>
      <c r="D4891" s="8">
        <v>15</v>
      </c>
      <c r="E4891" s="11">
        <v>1534</v>
      </c>
      <c r="F4891" s="10">
        <f t="shared" ca="1" si="79"/>
        <v>23010</v>
      </c>
    </row>
    <row r="4892" spans="1:6" x14ac:dyDescent="0.25">
      <c r="A4892" s="8">
        <v>31211508</v>
      </c>
      <c r="B4892" s="9" t="str">
        <f t="shared" ca="1" si="78"/>
        <v>Pinturas acrílicas</v>
      </c>
      <c r="C4892" s="33" t="s">
        <v>55</v>
      </c>
      <c r="D4892" s="8">
        <v>15</v>
      </c>
      <c r="E4892" s="11">
        <v>1534</v>
      </c>
      <c r="F4892" s="10">
        <f t="shared" ca="1" si="79"/>
        <v>23010</v>
      </c>
    </row>
    <row r="4893" spans="1:6" x14ac:dyDescent="0.25">
      <c r="A4893" s="8">
        <v>31211508</v>
      </c>
      <c r="B4893" s="9" t="str">
        <f t="shared" ca="1" si="78"/>
        <v>Pinturas acrílicas</v>
      </c>
      <c r="C4893" s="33" t="s">
        <v>55</v>
      </c>
      <c r="D4893" s="8">
        <v>30</v>
      </c>
      <c r="E4893" s="11">
        <v>531</v>
      </c>
      <c r="F4893" s="10">
        <f t="shared" ca="1" si="79"/>
        <v>15930</v>
      </c>
    </row>
    <row r="4894" spans="1:6" x14ac:dyDescent="0.25">
      <c r="A4894" s="40"/>
      <c r="B4894" s="40"/>
      <c r="C4894" s="40"/>
      <c r="D4894" s="40"/>
      <c r="E4894" s="13" t="s">
        <v>87</v>
      </c>
      <c r="F4894" s="14">
        <f ca="1">SUM(Table3115177[MONTO TOTAL ESTIMADO])</f>
        <v>263730</v>
      </c>
    </row>
    <row r="4895" spans="1:6" ht="15.75" thickBot="1" x14ac:dyDescent="0.3">
      <c r="A4895" s="42"/>
      <c r="B4895" s="42"/>
      <c r="C4895" s="42"/>
      <c r="D4895" s="42"/>
      <c r="E4895" s="42"/>
      <c r="F4895" s="42"/>
    </row>
    <row r="4896" spans="1:6" ht="23.25" thickBot="1" x14ac:dyDescent="0.3">
      <c r="A4896" s="4" t="s">
        <v>19</v>
      </c>
      <c r="B4896" s="4" t="s">
        <v>20</v>
      </c>
      <c r="C4896" s="4" t="s">
        <v>21</v>
      </c>
      <c r="D4896" s="4" t="s">
        <v>22</v>
      </c>
      <c r="E4896" s="4" t="s">
        <v>23</v>
      </c>
      <c r="F4896" s="4" t="s">
        <v>24</v>
      </c>
    </row>
    <row r="4897" spans="1:6" ht="15.75" thickBot="1" x14ac:dyDescent="0.3">
      <c r="A4897" s="32" t="s">
        <v>444</v>
      </c>
      <c r="B4897" s="32" t="s">
        <v>445</v>
      </c>
      <c r="C4897" s="32" t="s">
        <v>27</v>
      </c>
      <c r="D4897" s="6" t="s">
        <v>188</v>
      </c>
      <c r="E4897" s="6" t="s">
        <v>262</v>
      </c>
      <c r="F4897" s="6"/>
    </row>
    <row r="4898" spans="1:6" ht="15.75" thickBot="1" x14ac:dyDescent="0.3">
      <c r="A4898" s="35" t="s">
        <v>31</v>
      </c>
      <c r="B4898" s="7" t="s">
        <v>32</v>
      </c>
      <c r="C4898" s="15">
        <v>45474</v>
      </c>
      <c r="D4898" s="35" t="s">
        <v>33</v>
      </c>
      <c r="E4898" s="7" t="s">
        <v>34</v>
      </c>
      <c r="F4898" s="6"/>
    </row>
    <row r="4899" spans="1:6" ht="15.75" thickBot="1" x14ac:dyDescent="0.3">
      <c r="A4899" s="36"/>
      <c r="B4899" s="7" t="s">
        <v>36</v>
      </c>
      <c r="C4899" s="5">
        <f>IF(C4898="","",IF(AND(MONTH(C4898)&gt;=1,MONTH(C4898)&lt;=3),1,IF(AND(MONTH(C4898)&gt;=4,MONTH(C4898)&lt;=6),2,IF(AND(MONTH(C4898)&gt;=7,MONTH(C4898)&lt;=9),3,4))))</f>
        <v>3</v>
      </c>
      <c r="D4899" s="36"/>
      <c r="E4899" s="7" t="s">
        <v>37</v>
      </c>
      <c r="F4899" s="6"/>
    </row>
    <row r="4900" spans="1:6" ht="15.75" thickBot="1" x14ac:dyDescent="0.3">
      <c r="A4900" s="36"/>
      <c r="B4900" s="7" t="s">
        <v>39</v>
      </c>
      <c r="C4900" s="15">
        <v>45565</v>
      </c>
      <c r="D4900" s="36"/>
      <c r="E4900" s="7" t="s">
        <v>40</v>
      </c>
      <c r="F4900" s="6"/>
    </row>
    <row r="4901" spans="1:6" ht="15.75" thickBot="1" x14ac:dyDescent="0.3">
      <c r="A4901" s="36"/>
      <c r="B4901" s="7" t="s">
        <v>36</v>
      </c>
      <c r="C4901" s="5">
        <f>IF(C4900="","",IF(AND(MONTH(C4900)&gt;=1,MONTH(C4900)&lt;=3),1,IF(AND(MONTH(C4900)&gt;=4,MONTH(C4900)&lt;=6),2,IF(AND(MONTH(C4900)&gt;=7,MONTH(C4900)&lt;=9),3,4))))</f>
        <v>3</v>
      </c>
      <c r="D4901" s="36"/>
      <c r="E4901" s="7" t="s">
        <v>41</v>
      </c>
      <c r="F4901" s="6"/>
    </row>
    <row r="4902" spans="1:6" ht="15.75" thickBot="1" x14ac:dyDescent="0.3">
      <c r="A4902" s="40"/>
      <c r="B4902" s="40"/>
      <c r="C4902" s="40"/>
      <c r="D4902" s="40"/>
      <c r="E4902" s="40"/>
      <c r="F4902" s="40"/>
    </row>
    <row r="4903" spans="1:6" ht="15.75" thickBot="1" x14ac:dyDescent="0.3">
      <c r="A4903" s="12" t="s">
        <v>42</v>
      </c>
      <c r="B4903" s="12" t="s">
        <v>43</v>
      </c>
      <c r="C4903" s="12" t="s">
        <v>44</v>
      </c>
      <c r="D4903" s="12" t="s">
        <v>45</v>
      </c>
      <c r="E4903" s="12" t="s">
        <v>46</v>
      </c>
      <c r="F4903" s="12" t="s">
        <v>47</v>
      </c>
    </row>
    <row r="4904" spans="1:6" x14ac:dyDescent="0.25">
      <c r="A4904" s="8">
        <v>39101605</v>
      </c>
      <c r="B4904" s="9" t="str">
        <f ca="1">IFERROR(INDEX(UNSPSCDes,MATCH(INDIRECT(ADDRESS(ROW(),COLUMN()-1,4)),UNSPSCCode,0)),"")</f>
        <v>Lámparas fluorescentes</v>
      </c>
      <c r="C4904" s="33" t="s">
        <v>55</v>
      </c>
      <c r="D4904" s="8">
        <v>180</v>
      </c>
      <c r="E4904" s="11">
        <v>1298</v>
      </c>
      <c r="F4904" s="10">
        <f ca="1">INDIRECT(ADDRESS(ROW(),COLUMN()-2,4))*INDIRECT(ADDRESS(ROW(),COLUMN()-1,4))</f>
        <v>233640</v>
      </c>
    </row>
    <row r="4905" spans="1:6" x14ac:dyDescent="0.25">
      <c r="A4905" s="40"/>
      <c r="B4905" s="40"/>
      <c r="C4905" s="40"/>
      <c r="D4905" s="40"/>
      <c r="E4905" s="13" t="s">
        <v>87</v>
      </c>
      <c r="F4905" s="14">
        <f ca="1">SUM(Table3116178[MONTO TOTAL ESTIMADO])</f>
        <v>233640</v>
      </c>
    </row>
    <row r="4906" spans="1:6" ht="15.75" thickBot="1" x14ac:dyDescent="0.3">
      <c r="A4906" s="42"/>
      <c r="B4906" s="42"/>
      <c r="C4906" s="42"/>
      <c r="D4906" s="42"/>
      <c r="E4906" s="42"/>
      <c r="F4906" s="42"/>
    </row>
    <row r="4907" spans="1:6" ht="23.25" thickBot="1" x14ac:dyDescent="0.3">
      <c r="A4907" s="4" t="s">
        <v>19</v>
      </c>
      <c r="B4907" s="4" t="s">
        <v>20</v>
      </c>
      <c r="C4907" s="4" t="s">
        <v>21</v>
      </c>
      <c r="D4907" s="4" t="s">
        <v>22</v>
      </c>
      <c r="E4907" s="4" t="s">
        <v>23</v>
      </c>
      <c r="F4907" s="4" t="s">
        <v>24</v>
      </c>
    </row>
    <row r="4908" spans="1:6" ht="15.75" thickBot="1" x14ac:dyDescent="0.3">
      <c r="A4908" s="32" t="s">
        <v>447</v>
      </c>
      <c r="B4908" s="32" t="s">
        <v>448</v>
      </c>
      <c r="C4908" s="32" t="s">
        <v>27</v>
      </c>
      <c r="D4908" s="6" t="s">
        <v>188</v>
      </c>
      <c r="E4908" s="6" t="s">
        <v>262</v>
      </c>
      <c r="F4908" s="6"/>
    </row>
    <row r="4909" spans="1:6" ht="15.75" thickBot="1" x14ac:dyDescent="0.3">
      <c r="A4909" s="35" t="s">
        <v>31</v>
      </c>
      <c r="B4909" s="7" t="s">
        <v>32</v>
      </c>
      <c r="C4909" s="15">
        <v>45474</v>
      </c>
      <c r="D4909" s="35" t="s">
        <v>33</v>
      </c>
      <c r="E4909" s="7" t="s">
        <v>34</v>
      </c>
      <c r="F4909" s="6"/>
    </row>
    <row r="4910" spans="1:6" ht="15.75" thickBot="1" x14ac:dyDescent="0.3">
      <c r="A4910" s="36"/>
      <c r="B4910" s="7" t="s">
        <v>36</v>
      </c>
      <c r="C4910" s="5">
        <f>IF(C4909="","",IF(AND(MONTH(C4909)&gt;=1,MONTH(C4909)&lt;=3),1,IF(AND(MONTH(C4909)&gt;=4,MONTH(C4909)&lt;=6),2,IF(AND(MONTH(C4909)&gt;=7,MONTH(C4909)&lt;=9),3,4))))</f>
        <v>3</v>
      </c>
      <c r="D4910" s="36"/>
      <c r="E4910" s="7" t="s">
        <v>37</v>
      </c>
      <c r="F4910" s="6"/>
    </row>
    <row r="4911" spans="1:6" ht="15.75" thickBot="1" x14ac:dyDescent="0.3">
      <c r="A4911" s="36"/>
      <c r="B4911" s="7" t="s">
        <v>39</v>
      </c>
      <c r="C4911" s="15">
        <v>45565</v>
      </c>
      <c r="D4911" s="36"/>
      <c r="E4911" s="7" t="s">
        <v>40</v>
      </c>
      <c r="F4911" s="6"/>
    </row>
    <row r="4912" spans="1:6" ht="15.75" thickBot="1" x14ac:dyDescent="0.3">
      <c r="A4912" s="36"/>
      <c r="B4912" s="7" t="s">
        <v>36</v>
      </c>
      <c r="C4912" s="5">
        <f>IF(C4911="","",IF(AND(MONTH(C4911)&gt;=1,MONTH(C4911)&lt;=3),1,IF(AND(MONTH(C4911)&gt;=4,MONTH(C4911)&lt;=6),2,IF(AND(MONTH(C4911)&gt;=7,MONTH(C4911)&lt;=9),3,4))))</f>
        <v>3</v>
      </c>
      <c r="D4912" s="36"/>
      <c r="E4912" s="7" t="s">
        <v>41</v>
      </c>
      <c r="F4912" s="6"/>
    </row>
    <row r="4913" spans="1:6" ht="15.75" thickBot="1" x14ac:dyDescent="0.3">
      <c r="A4913" s="40"/>
      <c r="B4913" s="40"/>
      <c r="C4913" s="40"/>
      <c r="D4913" s="40"/>
      <c r="E4913" s="40"/>
      <c r="F4913" s="40"/>
    </row>
    <row r="4914" spans="1:6" ht="15.75" thickBot="1" x14ac:dyDescent="0.3">
      <c r="A4914" s="12" t="s">
        <v>42</v>
      </c>
      <c r="B4914" s="12" t="s">
        <v>43</v>
      </c>
      <c r="C4914" s="12" t="s">
        <v>44</v>
      </c>
      <c r="D4914" s="12" t="s">
        <v>45</v>
      </c>
      <c r="E4914" s="12" t="s">
        <v>46</v>
      </c>
      <c r="F4914" s="12" t="s">
        <v>47</v>
      </c>
    </row>
    <row r="4915" spans="1:6" x14ac:dyDescent="0.25">
      <c r="A4915" s="8">
        <v>46181525</v>
      </c>
      <c r="B4915" s="9" t="str">
        <f ca="1">IFERROR(INDEX(UNSPSCDes,MATCH(INDIRECT(ADDRESS(ROW(),COLUMN()-1,4)),UNSPSCCode,0)),"")</f>
        <v>Ropa impermeable protectora o ropa para ambiente húmedo</v>
      </c>
      <c r="C4915" s="8" t="s">
        <v>55</v>
      </c>
      <c r="D4915" s="8">
        <v>25</v>
      </c>
      <c r="E4915" s="11">
        <v>885.85</v>
      </c>
      <c r="F4915" s="10">
        <f ca="1">INDIRECT(ADDRESS(ROW(),COLUMN()-2,4))*INDIRECT(ADDRESS(ROW(),COLUMN()-1,4))</f>
        <v>22146.25</v>
      </c>
    </row>
    <row r="4916" spans="1:6" x14ac:dyDescent="0.25">
      <c r="A4916" s="8">
        <v>46181604</v>
      </c>
      <c r="B4916" s="9" t="str">
        <f ca="1">IFERROR(INDEX(UNSPSCDes,MATCH(INDIRECT(ADDRESS(ROW(),COLUMN()-1,4)),UNSPSCCode,0)),"")</f>
        <v>Botas de seguridad</v>
      </c>
      <c r="C4916" s="33" t="s">
        <v>55</v>
      </c>
      <c r="D4916" s="8">
        <v>25</v>
      </c>
      <c r="E4916" s="11">
        <v>792.37</v>
      </c>
      <c r="F4916" s="10">
        <f ca="1">INDIRECT(ADDRESS(ROW(),COLUMN()-2,4))*INDIRECT(ADDRESS(ROW(),COLUMN()-1,4))</f>
        <v>19809.25</v>
      </c>
    </row>
    <row r="4917" spans="1:6" x14ac:dyDescent="0.25">
      <c r="A4917" s="40"/>
      <c r="B4917" s="40"/>
      <c r="C4917" s="40"/>
      <c r="D4917" s="40"/>
      <c r="E4917" s="13" t="s">
        <v>87</v>
      </c>
      <c r="F4917" s="14">
        <f ca="1">SUM(Table3117179[MONTO TOTAL ESTIMADO])</f>
        <v>41955.5</v>
      </c>
    </row>
    <row r="4918" spans="1:6" ht="15.75" thickBot="1" x14ac:dyDescent="0.3">
      <c r="A4918" s="42"/>
      <c r="B4918" s="42"/>
      <c r="C4918" s="42"/>
      <c r="D4918" s="42"/>
      <c r="E4918" s="42"/>
      <c r="F4918" s="42"/>
    </row>
    <row r="4919" spans="1:6" ht="23.25" thickBot="1" x14ac:dyDescent="0.3">
      <c r="A4919" s="4" t="s">
        <v>19</v>
      </c>
      <c r="B4919" s="4" t="s">
        <v>20</v>
      </c>
      <c r="C4919" s="4" t="s">
        <v>21</v>
      </c>
      <c r="D4919" s="4" t="s">
        <v>22</v>
      </c>
      <c r="E4919" s="4" t="s">
        <v>23</v>
      </c>
      <c r="F4919" s="4" t="s">
        <v>24</v>
      </c>
    </row>
    <row r="4920" spans="1:6" ht="15.75" thickBot="1" x14ac:dyDescent="0.3">
      <c r="A4920" s="32" t="s">
        <v>451</v>
      </c>
      <c r="B4920" s="32" t="s">
        <v>452</v>
      </c>
      <c r="C4920" s="32" t="s">
        <v>129</v>
      </c>
      <c r="D4920" s="6" t="s">
        <v>28</v>
      </c>
      <c r="E4920" s="6" t="s">
        <v>262</v>
      </c>
      <c r="F4920" s="6"/>
    </row>
    <row r="4921" spans="1:6" ht="15.75" thickBot="1" x14ac:dyDescent="0.3">
      <c r="A4921" s="35" t="s">
        <v>31</v>
      </c>
      <c r="B4921" s="7" t="s">
        <v>32</v>
      </c>
      <c r="C4921" s="15">
        <v>45474</v>
      </c>
      <c r="D4921" s="35" t="s">
        <v>33</v>
      </c>
      <c r="E4921" s="7" t="s">
        <v>34</v>
      </c>
      <c r="F4921" s="6"/>
    </row>
    <row r="4922" spans="1:6" ht="15.75" thickBot="1" x14ac:dyDescent="0.3">
      <c r="A4922" s="36"/>
      <c r="B4922" s="7" t="s">
        <v>36</v>
      </c>
      <c r="C4922" s="5">
        <f>IF(C4921="","",IF(AND(MONTH(C4921)&gt;=1,MONTH(C4921)&lt;=3),1,IF(AND(MONTH(C4921)&gt;=4,MONTH(C4921)&lt;=6),2,IF(AND(MONTH(C4921)&gt;=7,MONTH(C4921)&lt;=9),3,4))))</f>
        <v>3</v>
      </c>
      <c r="D4922" s="36"/>
      <c r="E4922" s="7" t="s">
        <v>37</v>
      </c>
      <c r="F4922" s="6"/>
    </row>
    <row r="4923" spans="1:6" ht="15.75" thickBot="1" x14ac:dyDescent="0.3">
      <c r="A4923" s="36"/>
      <c r="B4923" s="7" t="s">
        <v>39</v>
      </c>
      <c r="C4923" s="15">
        <v>45565</v>
      </c>
      <c r="D4923" s="36"/>
      <c r="E4923" s="7" t="s">
        <v>40</v>
      </c>
      <c r="F4923" s="6"/>
    </row>
    <row r="4924" spans="1:6" ht="15.75" thickBot="1" x14ac:dyDescent="0.3">
      <c r="A4924" s="36"/>
      <c r="B4924" s="7" t="s">
        <v>36</v>
      </c>
      <c r="C4924" s="5">
        <f>IF(C4923="","",IF(AND(MONTH(C4923)&gt;=1,MONTH(C4923)&lt;=3),1,IF(AND(MONTH(C4923)&gt;=4,MONTH(C4923)&lt;=6),2,IF(AND(MONTH(C4923)&gt;=7,MONTH(C4923)&lt;=9),3,4))))</f>
        <v>3</v>
      </c>
      <c r="D4924" s="36"/>
      <c r="E4924" s="7" t="s">
        <v>41</v>
      </c>
      <c r="F4924" s="6"/>
    </row>
    <row r="4925" spans="1:6" ht="15.75" thickBot="1" x14ac:dyDescent="0.3">
      <c r="A4925" s="40"/>
      <c r="B4925" s="40"/>
      <c r="C4925" s="40"/>
      <c r="D4925" s="40"/>
      <c r="E4925" s="40"/>
      <c r="F4925" s="40"/>
    </row>
    <row r="4926" spans="1:6" ht="15.75" thickBot="1" x14ac:dyDescent="0.3">
      <c r="A4926" s="12" t="s">
        <v>42</v>
      </c>
      <c r="B4926" s="12" t="s">
        <v>43</v>
      </c>
      <c r="C4926" s="12" t="s">
        <v>44</v>
      </c>
      <c r="D4926" s="12" t="s">
        <v>45</v>
      </c>
      <c r="E4926" s="12" t="s">
        <v>46</v>
      </c>
      <c r="F4926" s="12" t="s">
        <v>47</v>
      </c>
    </row>
    <row r="4927" spans="1:6" x14ac:dyDescent="0.25">
      <c r="A4927" s="41">
        <v>86101705</v>
      </c>
      <c r="B4927" s="9" t="str">
        <f ca="1">IFERROR(INDEX(UNSPSCDes,MATCH(INDIRECT(ADDRESS(ROW(),COLUMN()-1,4)),UNSPSCCode,0)),"")</f>
        <v>Capacitación administrativa</v>
      </c>
      <c r="C4927" s="33" t="s">
        <v>55</v>
      </c>
      <c r="D4927" s="8">
        <v>1</v>
      </c>
      <c r="E4927" s="11">
        <v>1500000</v>
      </c>
      <c r="F4927" s="10">
        <f ca="1">INDIRECT(ADDRESS(ROW(),COLUMN()-2,4))*INDIRECT(ADDRESS(ROW(),COLUMN()-1,4))</f>
        <v>1500000</v>
      </c>
    </row>
    <row r="4928" spans="1:6" x14ac:dyDescent="0.25">
      <c r="A4928" s="40"/>
      <c r="B4928" s="40"/>
      <c r="C4928" s="40"/>
      <c r="D4928" s="40"/>
      <c r="E4928" s="13" t="s">
        <v>87</v>
      </c>
      <c r="F4928" s="14">
        <f ca="1">SUM(Table3118180[MONTO TOTAL ESTIMADO])</f>
        <v>1500000</v>
      </c>
    </row>
    <row r="4929" spans="1:6" ht="15.75" thickBot="1" x14ac:dyDescent="0.3">
      <c r="A4929" s="42"/>
      <c r="B4929" s="42"/>
      <c r="C4929" s="42"/>
      <c r="D4929" s="42"/>
      <c r="E4929" s="42"/>
      <c r="F4929" s="42"/>
    </row>
    <row r="4930" spans="1:6" ht="23.25" thickBot="1" x14ac:dyDescent="0.3">
      <c r="A4930" s="4" t="s">
        <v>19</v>
      </c>
      <c r="B4930" s="4" t="s">
        <v>20</v>
      </c>
      <c r="C4930" s="4" t="s">
        <v>21</v>
      </c>
      <c r="D4930" s="4" t="s">
        <v>22</v>
      </c>
      <c r="E4930" s="4" t="s">
        <v>23</v>
      </c>
      <c r="F4930" s="4" t="s">
        <v>24</v>
      </c>
    </row>
    <row r="4931" spans="1:6" ht="15.75" thickBot="1" x14ac:dyDescent="0.3">
      <c r="A4931" s="32" t="s">
        <v>454</v>
      </c>
      <c r="B4931" s="32" t="s">
        <v>455</v>
      </c>
      <c r="C4931" s="32" t="s">
        <v>27</v>
      </c>
      <c r="D4931" s="6" t="s">
        <v>90</v>
      </c>
      <c r="E4931" s="6" t="s">
        <v>262</v>
      </c>
      <c r="F4931" s="6"/>
    </row>
    <row r="4932" spans="1:6" ht="15.75" thickBot="1" x14ac:dyDescent="0.3">
      <c r="A4932" s="35" t="s">
        <v>31</v>
      </c>
      <c r="B4932" s="7" t="s">
        <v>32</v>
      </c>
      <c r="C4932" s="15">
        <v>45474</v>
      </c>
      <c r="D4932" s="35" t="s">
        <v>33</v>
      </c>
      <c r="E4932" s="7" t="s">
        <v>34</v>
      </c>
      <c r="F4932" s="6"/>
    </row>
    <row r="4933" spans="1:6" ht="15.75" thickBot="1" x14ac:dyDescent="0.3">
      <c r="A4933" s="36"/>
      <c r="B4933" s="7" t="s">
        <v>36</v>
      </c>
      <c r="C4933" s="5">
        <f>IF(C4932="","",IF(AND(MONTH(C4932)&gt;=1,MONTH(C4932)&lt;=3),1,IF(AND(MONTH(C4932)&gt;=4,MONTH(C4932)&lt;=6),2,IF(AND(MONTH(C4932)&gt;=7,MONTH(C4932)&lt;=9),3,4))))</f>
        <v>3</v>
      </c>
      <c r="D4933" s="36"/>
      <c r="E4933" s="7" t="s">
        <v>37</v>
      </c>
      <c r="F4933" s="6"/>
    </row>
    <row r="4934" spans="1:6" ht="15.75" thickBot="1" x14ac:dyDescent="0.3">
      <c r="A4934" s="36"/>
      <c r="B4934" s="7" t="s">
        <v>39</v>
      </c>
      <c r="C4934" s="15">
        <v>45565</v>
      </c>
      <c r="D4934" s="36"/>
      <c r="E4934" s="7" t="s">
        <v>40</v>
      </c>
      <c r="F4934" s="6"/>
    </row>
    <row r="4935" spans="1:6" ht="15.75" thickBot="1" x14ac:dyDescent="0.3">
      <c r="A4935" s="36"/>
      <c r="B4935" s="7" t="s">
        <v>36</v>
      </c>
      <c r="C4935" s="5">
        <f>IF(C4934="","",IF(AND(MONTH(C4934)&gt;=1,MONTH(C4934)&lt;=3),1,IF(AND(MONTH(C4934)&gt;=4,MONTH(C4934)&lt;=6),2,IF(AND(MONTH(C4934)&gt;=7,MONTH(C4934)&lt;=9),3,4))))</f>
        <v>3</v>
      </c>
      <c r="D4935" s="36"/>
      <c r="E4935" s="7" t="s">
        <v>41</v>
      </c>
      <c r="F4935" s="6"/>
    </row>
    <row r="4936" spans="1:6" ht="15.75" thickBot="1" x14ac:dyDescent="0.3">
      <c r="A4936" s="40"/>
      <c r="B4936" s="40"/>
      <c r="C4936" s="40"/>
      <c r="D4936" s="40"/>
      <c r="E4936" s="40"/>
      <c r="F4936" s="40"/>
    </row>
    <row r="4937" spans="1:6" ht="15.75" thickBot="1" x14ac:dyDescent="0.3">
      <c r="A4937" s="12" t="s">
        <v>42</v>
      </c>
      <c r="B4937" s="12" t="s">
        <v>43</v>
      </c>
      <c r="C4937" s="12" t="s">
        <v>44</v>
      </c>
      <c r="D4937" s="12" t="s">
        <v>45</v>
      </c>
      <c r="E4937" s="12" t="s">
        <v>46</v>
      </c>
      <c r="F4937" s="12" t="s">
        <v>47</v>
      </c>
    </row>
    <row r="4938" spans="1:6" x14ac:dyDescent="0.25">
      <c r="A4938" s="8">
        <v>14111507</v>
      </c>
      <c r="B4938" s="9" t="str">
        <f ca="1">IFERROR(INDEX(UNSPSCDes,MATCH(INDIRECT(ADDRESS(ROW(),COLUMN()-1,4)),UNSPSCCode,0)),"")</f>
        <v>Papel para impresora o fotocopiadora</v>
      </c>
      <c r="C4938" s="8" t="s">
        <v>51</v>
      </c>
      <c r="D4938" s="8">
        <v>6000</v>
      </c>
      <c r="E4938" s="11">
        <v>354</v>
      </c>
      <c r="F4938" s="10">
        <f ca="1">INDIRECT(ADDRESS(ROW(),COLUMN()-2,4))*INDIRECT(ADDRESS(ROW(),COLUMN()-1,4))</f>
        <v>2124000</v>
      </c>
    </row>
    <row r="4939" spans="1:6" x14ac:dyDescent="0.25">
      <c r="A4939" s="40"/>
      <c r="B4939" s="40"/>
      <c r="C4939" s="40"/>
      <c r="D4939" s="40"/>
      <c r="E4939" s="13" t="s">
        <v>87</v>
      </c>
      <c r="F4939" s="14">
        <f ca="1">SUM(Table3119181[MONTO TOTAL ESTIMADO])</f>
        <v>2124000</v>
      </c>
    </row>
    <row r="4940" spans="1:6" ht="15.75" thickBot="1" x14ac:dyDescent="0.3">
      <c r="A4940" s="42"/>
      <c r="B4940" s="42"/>
      <c r="C4940" s="42"/>
      <c r="D4940" s="42"/>
      <c r="E4940" s="42"/>
      <c r="F4940" s="42"/>
    </row>
    <row r="4941" spans="1:6" ht="23.25" thickBot="1" x14ac:dyDescent="0.3">
      <c r="A4941" s="4" t="s">
        <v>19</v>
      </c>
      <c r="B4941" s="4" t="s">
        <v>20</v>
      </c>
      <c r="C4941" s="4" t="s">
        <v>21</v>
      </c>
      <c r="D4941" s="4" t="s">
        <v>22</v>
      </c>
      <c r="E4941" s="4" t="s">
        <v>23</v>
      </c>
      <c r="F4941" s="4" t="s">
        <v>24</v>
      </c>
    </row>
    <row r="4942" spans="1:6" ht="15.75" thickBot="1" x14ac:dyDescent="0.3">
      <c r="A4942" s="32" t="s">
        <v>456</v>
      </c>
      <c r="B4942" s="32" t="s">
        <v>457</v>
      </c>
      <c r="C4942" s="32" t="s">
        <v>27</v>
      </c>
      <c r="D4942" s="6" t="s">
        <v>28</v>
      </c>
      <c r="E4942" s="6" t="s">
        <v>262</v>
      </c>
      <c r="F4942" s="6"/>
    </row>
    <row r="4943" spans="1:6" ht="15.75" thickBot="1" x14ac:dyDescent="0.3">
      <c r="A4943" s="35" t="s">
        <v>31</v>
      </c>
      <c r="B4943" s="7" t="s">
        <v>32</v>
      </c>
      <c r="C4943" s="15">
        <v>45474</v>
      </c>
      <c r="D4943" s="35" t="s">
        <v>33</v>
      </c>
      <c r="E4943" s="7" t="s">
        <v>34</v>
      </c>
      <c r="F4943" s="6"/>
    </row>
    <row r="4944" spans="1:6" ht="15.75" thickBot="1" x14ac:dyDescent="0.3">
      <c r="A4944" s="36"/>
      <c r="B4944" s="7" t="s">
        <v>36</v>
      </c>
      <c r="C4944" s="5">
        <f>IF(C4943="","",IF(AND(MONTH(C4943)&gt;=1,MONTH(C4943)&lt;=3),1,IF(AND(MONTH(C4943)&gt;=4,MONTH(C4943)&lt;=6),2,IF(AND(MONTH(C4943)&gt;=7,MONTH(C4943)&lt;=9),3,4))))</f>
        <v>3</v>
      </c>
      <c r="D4944" s="36"/>
      <c r="E4944" s="7" t="s">
        <v>37</v>
      </c>
      <c r="F4944" s="6"/>
    </row>
    <row r="4945" spans="1:6" ht="15.75" thickBot="1" x14ac:dyDescent="0.3">
      <c r="A4945" s="36"/>
      <c r="B4945" s="7" t="s">
        <v>39</v>
      </c>
      <c r="C4945" s="15">
        <v>45565</v>
      </c>
      <c r="D4945" s="36"/>
      <c r="E4945" s="7" t="s">
        <v>40</v>
      </c>
      <c r="F4945" s="6"/>
    </row>
    <row r="4946" spans="1:6" ht="15.75" thickBot="1" x14ac:dyDescent="0.3">
      <c r="A4946" s="36"/>
      <c r="B4946" s="7" t="s">
        <v>36</v>
      </c>
      <c r="C4946" s="5">
        <f>IF(C4945="","",IF(AND(MONTH(C4945)&gt;=1,MONTH(C4945)&lt;=3),1,IF(AND(MONTH(C4945)&gt;=4,MONTH(C4945)&lt;=6),2,IF(AND(MONTH(C4945)&gt;=7,MONTH(C4945)&lt;=9),3,4))))</f>
        <v>3</v>
      </c>
      <c r="D4946" s="36"/>
      <c r="E4946" s="7" t="s">
        <v>41</v>
      </c>
      <c r="F4946" s="6"/>
    </row>
    <row r="4947" spans="1:6" ht="15.75" thickBot="1" x14ac:dyDescent="0.3">
      <c r="A4947" s="40"/>
      <c r="B4947" s="40"/>
      <c r="C4947" s="40"/>
      <c r="D4947" s="40"/>
      <c r="E4947" s="40"/>
      <c r="F4947" s="40"/>
    </row>
    <row r="4948" spans="1:6" ht="15.75" thickBot="1" x14ac:dyDescent="0.3">
      <c r="A4948" s="12" t="s">
        <v>42</v>
      </c>
      <c r="B4948" s="12" t="s">
        <v>43</v>
      </c>
      <c r="C4948" s="12" t="s">
        <v>44</v>
      </c>
      <c r="D4948" s="12" t="s">
        <v>45</v>
      </c>
      <c r="E4948" s="12" t="s">
        <v>46</v>
      </c>
      <c r="F4948" s="12" t="s">
        <v>47</v>
      </c>
    </row>
    <row r="4949" spans="1:6" x14ac:dyDescent="0.25">
      <c r="A4949" s="8">
        <v>31211903</v>
      </c>
      <c r="B4949" s="9" t="str">
        <f ca="1">IFERROR(INDEX(UNSPSCDes,MATCH(INDIRECT(ADDRESS(ROW(),COLUMN()-1,4)),UNSPSCCode,0)),"")</f>
        <v>Equipo para protección</v>
      </c>
      <c r="C4949" s="33" t="s">
        <v>55</v>
      </c>
      <c r="D4949" s="8">
        <v>1000</v>
      </c>
      <c r="E4949" s="11">
        <v>1700</v>
      </c>
      <c r="F4949" s="10">
        <f ca="1">INDIRECT(ADDRESS(ROW(),COLUMN()-2,4))*INDIRECT(ADDRESS(ROW(),COLUMN()-1,4))</f>
        <v>1700000</v>
      </c>
    </row>
    <row r="4950" spans="1:6" x14ac:dyDescent="0.25">
      <c r="A4950" s="40"/>
      <c r="B4950" s="40"/>
      <c r="C4950" s="40"/>
      <c r="D4950" s="40"/>
      <c r="E4950" s="13" t="s">
        <v>87</v>
      </c>
      <c r="F4950" s="14">
        <f ca="1">SUM(Table3120182[MONTO TOTAL ESTIMADO])</f>
        <v>1700000</v>
      </c>
    </row>
    <row r="4951" spans="1:6" ht="15.75" thickBot="1" x14ac:dyDescent="0.3">
      <c r="A4951" s="42"/>
      <c r="B4951" s="42"/>
      <c r="C4951" s="42"/>
      <c r="D4951" s="42"/>
      <c r="E4951" s="42"/>
      <c r="F4951" s="42"/>
    </row>
    <row r="4952" spans="1:6" ht="23.25" thickBot="1" x14ac:dyDescent="0.3">
      <c r="A4952" s="4" t="s">
        <v>19</v>
      </c>
      <c r="B4952" s="4" t="s">
        <v>20</v>
      </c>
      <c r="C4952" s="4" t="s">
        <v>21</v>
      </c>
      <c r="D4952" s="4" t="s">
        <v>22</v>
      </c>
      <c r="E4952" s="4" t="s">
        <v>23</v>
      </c>
      <c r="F4952" s="4" t="s">
        <v>24</v>
      </c>
    </row>
    <row r="4953" spans="1:6" ht="15.75" thickBot="1" x14ac:dyDescent="0.3">
      <c r="A4953" s="32" t="s">
        <v>459</v>
      </c>
      <c r="B4953" s="32" t="s">
        <v>460</v>
      </c>
      <c r="C4953" s="32" t="s">
        <v>27</v>
      </c>
      <c r="D4953" s="6" t="s">
        <v>28</v>
      </c>
      <c r="E4953" s="6" t="s">
        <v>262</v>
      </c>
      <c r="F4953" s="6"/>
    </row>
    <row r="4954" spans="1:6" ht="15.75" thickBot="1" x14ac:dyDescent="0.3">
      <c r="A4954" s="35" t="s">
        <v>31</v>
      </c>
      <c r="B4954" s="7" t="s">
        <v>32</v>
      </c>
      <c r="C4954" s="15">
        <v>45474</v>
      </c>
      <c r="D4954" s="35" t="s">
        <v>33</v>
      </c>
      <c r="E4954" s="7" t="s">
        <v>34</v>
      </c>
      <c r="F4954" s="6"/>
    </row>
    <row r="4955" spans="1:6" ht="15.75" thickBot="1" x14ac:dyDescent="0.3">
      <c r="A4955" s="36"/>
      <c r="B4955" s="7" t="s">
        <v>36</v>
      </c>
      <c r="C4955" s="5">
        <f>IF(C4954="","",IF(AND(MONTH(C4954)&gt;=1,MONTH(C4954)&lt;=3),1,IF(AND(MONTH(C4954)&gt;=4,MONTH(C4954)&lt;=6),2,IF(AND(MONTH(C4954)&gt;=7,MONTH(C4954)&lt;=9),3,4))))</f>
        <v>3</v>
      </c>
      <c r="D4955" s="36"/>
      <c r="E4955" s="7" t="s">
        <v>37</v>
      </c>
      <c r="F4955" s="6"/>
    </row>
    <row r="4956" spans="1:6" ht="15.75" thickBot="1" x14ac:dyDescent="0.3">
      <c r="A4956" s="36"/>
      <c r="B4956" s="7" t="s">
        <v>39</v>
      </c>
      <c r="C4956" s="15">
        <v>45565</v>
      </c>
      <c r="D4956" s="36"/>
      <c r="E4956" s="7" t="s">
        <v>40</v>
      </c>
      <c r="F4956" s="6"/>
    </row>
    <row r="4957" spans="1:6" ht="15.75" thickBot="1" x14ac:dyDescent="0.3">
      <c r="A4957" s="36"/>
      <c r="B4957" s="7" t="s">
        <v>36</v>
      </c>
      <c r="C4957" s="5">
        <f>IF(C4956="","",IF(AND(MONTH(C4956)&gt;=1,MONTH(C4956)&lt;=3),1,IF(AND(MONTH(C4956)&gt;=4,MONTH(C4956)&lt;=6),2,IF(AND(MONTH(C4956)&gt;=7,MONTH(C4956)&lt;=9),3,4))))</f>
        <v>3</v>
      </c>
      <c r="D4957" s="36"/>
      <c r="E4957" s="7" t="s">
        <v>41</v>
      </c>
      <c r="F4957" s="6"/>
    </row>
    <row r="4958" spans="1:6" ht="15.75" thickBot="1" x14ac:dyDescent="0.3">
      <c r="A4958" s="40"/>
      <c r="B4958" s="40"/>
      <c r="C4958" s="40"/>
      <c r="D4958" s="40"/>
      <c r="E4958" s="40"/>
      <c r="F4958" s="40"/>
    </row>
    <row r="4959" spans="1:6" ht="15.75" thickBot="1" x14ac:dyDescent="0.3">
      <c r="A4959" s="12" t="s">
        <v>42</v>
      </c>
      <c r="B4959" s="12" t="s">
        <v>43</v>
      </c>
      <c r="C4959" s="12" t="s">
        <v>44</v>
      </c>
      <c r="D4959" s="12" t="s">
        <v>45</v>
      </c>
      <c r="E4959" s="12" t="s">
        <v>46</v>
      </c>
      <c r="F4959" s="12" t="s">
        <v>47</v>
      </c>
    </row>
    <row r="4960" spans="1:6" x14ac:dyDescent="0.25">
      <c r="A4960" s="8">
        <v>45121510</v>
      </c>
      <c r="B4960" s="9" t="str">
        <f ca="1">IFERROR(INDEX(UNSPSCDes,MATCH(INDIRECT(ADDRESS(ROW(),COLUMN()-1,4)),UNSPSCCode,0)),"")</f>
        <v>Cámaras aéreas</v>
      </c>
      <c r="C4960" s="33" t="s">
        <v>55</v>
      </c>
      <c r="D4960" s="8">
        <v>2</v>
      </c>
      <c r="E4960" s="11">
        <v>750000</v>
      </c>
      <c r="F4960" s="10">
        <f ca="1">INDIRECT(ADDRESS(ROW(),COLUMN()-2,4))*INDIRECT(ADDRESS(ROW(),COLUMN()-1,4))</f>
        <v>1500000</v>
      </c>
    </row>
    <row r="4961" spans="1:6" x14ac:dyDescent="0.25">
      <c r="A4961" s="40"/>
      <c r="B4961" s="40"/>
      <c r="C4961" s="40"/>
      <c r="D4961" s="40"/>
      <c r="E4961" s="13" t="s">
        <v>87</v>
      </c>
      <c r="F4961" s="14">
        <f ca="1">SUM(Table3121183[MONTO TOTAL ESTIMADO])</f>
        <v>1500000</v>
      </c>
    </row>
    <row r="4962" spans="1:6" ht="15.75" thickBot="1" x14ac:dyDescent="0.3">
      <c r="A4962" s="42"/>
      <c r="B4962" s="42"/>
      <c r="C4962" s="42"/>
      <c r="D4962" s="42"/>
      <c r="E4962" s="42"/>
      <c r="F4962" s="42"/>
    </row>
    <row r="4963" spans="1:6" ht="23.25" thickBot="1" x14ac:dyDescent="0.3">
      <c r="A4963" s="4" t="s">
        <v>19</v>
      </c>
      <c r="B4963" s="4" t="s">
        <v>20</v>
      </c>
      <c r="C4963" s="4" t="s">
        <v>21</v>
      </c>
      <c r="D4963" s="4" t="s">
        <v>22</v>
      </c>
      <c r="E4963" s="4" t="s">
        <v>23</v>
      </c>
      <c r="F4963" s="4" t="s">
        <v>24</v>
      </c>
    </row>
    <row r="4964" spans="1:6" ht="15.75" thickBot="1" x14ac:dyDescent="0.3">
      <c r="A4964" s="32" t="s">
        <v>462</v>
      </c>
      <c r="B4964" s="32" t="s">
        <v>463</v>
      </c>
      <c r="C4964" s="32" t="s">
        <v>27</v>
      </c>
      <c r="D4964" s="6" t="s">
        <v>28</v>
      </c>
      <c r="E4964" s="6" t="s">
        <v>262</v>
      </c>
      <c r="F4964" s="6"/>
    </row>
    <row r="4965" spans="1:6" ht="15.75" thickBot="1" x14ac:dyDescent="0.3">
      <c r="A4965" s="35" t="s">
        <v>31</v>
      </c>
      <c r="B4965" s="7" t="s">
        <v>32</v>
      </c>
      <c r="C4965" s="15">
        <v>45474</v>
      </c>
      <c r="D4965" s="35" t="s">
        <v>33</v>
      </c>
      <c r="E4965" s="7" t="s">
        <v>34</v>
      </c>
      <c r="F4965" s="6"/>
    </row>
    <row r="4966" spans="1:6" ht="15.75" thickBot="1" x14ac:dyDescent="0.3">
      <c r="A4966" s="36"/>
      <c r="B4966" s="7" t="s">
        <v>36</v>
      </c>
      <c r="C4966" s="5">
        <f>IF(C4965="","",IF(AND(MONTH(C4965)&gt;=1,MONTH(C4965)&lt;=3),1,IF(AND(MONTH(C4965)&gt;=4,MONTH(C4965)&lt;=6),2,IF(AND(MONTH(C4965)&gt;=7,MONTH(C4965)&lt;=9),3,4))))</f>
        <v>3</v>
      </c>
      <c r="D4966" s="36"/>
      <c r="E4966" s="7" t="s">
        <v>37</v>
      </c>
      <c r="F4966" s="6"/>
    </row>
    <row r="4967" spans="1:6" ht="15.75" thickBot="1" x14ac:dyDescent="0.3">
      <c r="A4967" s="36"/>
      <c r="B4967" s="7" t="s">
        <v>39</v>
      </c>
      <c r="C4967" s="15">
        <v>45565</v>
      </c>
      <c r="D4967" s="36"/>
      <c r="E4967" s="7" t="s">
        <v>40</v>
      </c>
      <c r="F4967" s="6"/>
    </row>
    <row r="4968" spans="1:6" ht="15.75" thickBot="1" x14ac:dyDescent="0.3">
      <c r="A4968" s="36"/>
      <c r="B4968" s="7" t="s">
        <v>36</v>
      </c>
      <c r="C4968" s="5">
        <f>IF(C4967="","",IF(AND(MONTH(C4967)&gt;=1,MONTH(C4967)&lt;=3),1,IF(AND(MONTH(C4967)&gt;=4,MONTH(C4967)&lt;=6),2,IF(AND(MONTH(C4967)&gt;=7,MONTH(C4967)&lt;=9),3,4))))</f>
        <v>3</v>
      </c>
      <c r="D4968" s="36"/>
      <c r="E4968" s="7" t="s">
        <v>41</v>
      </c>
      <c r="F4968" s="6"/>
    </row>
    <row r="4969" spans="1:6" ht="15.75" thickBot="1" x14ac:dyDescent="0.3">
      <c r="A4969" s="40"/>
      <c r="B4969" s="40"/>
      <c r="C4969" s="40"/>
      <c r="D4969" s="40"/>
      <c r="E4969" s="40"/>
      <c r="F4969" s="40"/>
    </row>
    <row r="4970" spans="1:6" ht="15.75" thickBot="1" x14ac:dyDescent="0.3">
      <c r="A4970" s="12" t="s">
        <v>42</v>
      </c>
      <c r="B4970" s="12" t="s">
        <v>43</v>
      </c>
      <c r="C4970" s="12" t="s">
        <v>44</v>
      </c>
      <c r="D4970" s="12" t="s">
        <v>45</v>
      </c>
      <c r="E4970" s="12" t="s">
        <v>46</v>
      </c>
      <c r="F4970" s="12" t="s">
        <v>47</v>
      </c>
    </row>
    <row r="4971" spans="1:6" x14ac:dyDescent="0.25">
      <c r="A4971" s="8">
        <v>50161509</v>
      </c>
      <c r="B4971" s="9" t="str">
        <f t="shared" ref="B4971:B4984" ca="1" si="80">IFERROR(INDEX(UNSPSCDes,MATCH(INDIRECT(ADDRESS(ROW(),COLUMN()-1,4)),UNSPSCCode,0)),"")</f>
        <v>Azucares naturales o productos endulzantes</v>
      </c>
      <c r="C4971" s="8" t="s">
        <v>74</v>
      </c>
      <c r="D4971" s="8">
        <v>500</v>
      </c>
      <c r="E4971" s="11">
        <v>83.78</v>
      </c>
      <c r="F4971" s="10">
        <f t="shared" ref="F4971:F4984" ca="1" si="81">INDIRECT(ADDRESS(ROW(),COLUMN()-2,4))*INDIRECT(ADDRESS(ROW(),COLUMN()-1,4))</f>
        <v>41890</v>
      </c>
    </row>
    <row r="4972" spans="1:6" x14ac:dyDescent="0.25">
      <c r="A4972" s="8">
        <v>50221101</v>
      </c>
      <c r="B4972" s="9" t="str">
        <f t="shared" ca="1" si="80"/>
        <v>Grano de cereal</v>
      </c>
      <c r="C4972" s="33" t="s">
        <v>74</v>
      </c>
      <c r="D4972" s="8">
        <v>500</v>
      </c>
      <c r="E4972" s="11">
        <v>231.38</v>
      </c>
      <c r="F4972" s="10">
        <f t="shared" ca="1" si="81"/>
        <v>115690</v>
      </c>
    </row>
    <row r="4973" spans="1:6" x14ac:dyDescent="0.25">
      <c r="A4973" s="8">
        <v>50151513</v>
      </c>
      <c r="B4973" s="9" t="str">
        <f t="shared" ca="1" si="80"/>
        <v>Aceites vegetales o  de planta comestibles</v>
      </c>
      <c r="C4973" s="8" t="s">
        <v>55</v>
      </c>
      <c r="D4973" s="8">
        <v>500</v>
      </c>
      <c r="E4973" s="11">
        <v>132.16</v>
      </c>
      <c r="F4973" s="10">
        <f t="shared" ca="1" si="81"/>
        <v>66080</v>
      </c>
    </row>
    <row r="4974" spans="1:6" x14ac:dyDescent="0.25">
      <c r="A4974" s="8">
        <v>50192111</v>
      </c>
      <c r="B4974" s="9" t="str">
        <f t="shared" ca="1" si="80"/>
        <v>Carne seca o procesada</v>
      </c>
      <c r="C4974" s="33" t="s">
        <v>55</v>
      </c>
      <c r="D4974" s="8">
        <v>500</v>
      </c>
      <c r="E4974" s="11">
        <v>619.5</v>
      </c>
      <c r="F4974" s="10">
        <f t="shared" ca="1" si="81"/>
        <v>309750</v>
      </c>
    </row>
    <row r="4975" spans="1:6" x14ac:dyDescent="0.25">
      <c r="A4975" s="8">
        <v>50201706</v>
      </c>
      <c r="B4975" s="9" t="str">
        <f t="shared" ca="1" si="80"/>
        <v>Café</v>
      </c>
      <c r="C4975" s="33" t="s">
        <v>74</v>
      </c>
      <c r="D4975" s="8">
        <v>500</v>
      </c>
      <c r="E4975" s="11">
        <v>188.8</v>
      </c>
      <c r="F4975" s="10">
        <f t="shared" ca="1" si="81"/>
        <v>94400</v>
      </c>
    </row>
    <row r="4976" spans="1:6" x14ac:dyDescent="0.25">
      <c r="A4976" s="8">
        <v>50171831</v>
      </c>
      <c r="B4976" s="9" t="str">
        <f t="shared" ca="1" si="80"/>
        <v>Salsas para cocinar</v>
      </c>
      <c r="C4976" s="33" t="s">
        <v>55</v>
      </c>
      <c r="D4976" s="8">
        <v>500</v>
      </c>
      <c r="E4976" s="11">
        <v>105.2</v>
      </c>
      <c r="F4976" s="10">
        <f t="shared" ca="1" si="81"/>
        <v>52600</v>
      </c>
    </row>
    <row r="4977" spans="1:6" x14ac:dyDescent="0.25">
      <c r="A4977" s="8">
        <v>50121538</v>
      </c>
      <c r="B4977" s="9" t="str">
        <f t="shared" ca="1" si="80"/>
        <v>Pescado almacenado en repisa</v>
      </c>
      <c r="C4977" s="33" t="s">
        <v>55</v>
      </c>
      <c r="D4977" s="8">
        <v>500</v>
      </c>
      <c r="E4977" s="11">
        <v>142.78</v>
      </c>
      <c r="F4977" s="10">
        <f t="shared" ca="1" si="81"/>
        <v>71390</v>
      </c>
    </row>
    <row r="4978" spans="1:6" x14ac:dyDescent="0.25">
      <c r="A4978" s="8">
        <v>50192902</v>
      </c>
      <c r="B4978" s="9" t="str">
        <f t="shared" ca="1" si="80"/>
        <v>Pasta o fideos de repisa</v>
      </c>
      <c r="C4978" s="33" t="s">
        <v>55</v>
      </c>
      <c r="D4978" s="8">
        <v>500</v>
      </c>
      <c r="E4978" s="11">
        <v>48.38</v>
      </c>
      <c r="F4978" s="10">
        <f t="shared" ca="1" si="81"/>
        <v>24190</v>
      </c>
    </row>
    <row r="4979" spans="1:6" x14ac:dyDescent="0.25">
      <c r="A4979" s="8">
        <v>50101543</v>
      </c>
      <c r="B4979" s="9" t="str">
        <f t="shared" ca="1" si="80"/>
        <v>Judías secas</v>
      </c>
      <c r="C4979" s="33" t="s">
        <v>55</v>
      </c>
      <c r="D4979" s="8">
        <v>500</v>
      </c>
      <c r="E4979" s="11">
        <v>178.18</v>
      </c>
      <c r="F4979" s="10">
        <f t="shared" ca="1" si="81"/>
        <v>89090</v>
      </c>
    </row>
    <row r="4980" spans="1:6" x14ac:dyDescent="0.25">
      <c r="A4980" s="8">
        <v>50131701</v>
      </c>
      <c r="B4980" s="9" t="str">
        <f t="shared" ca="1" si="80"/>
        <v>Productos de leche o mantequilla frescos</v>
      </c>
      <c r="C4980" s="33" t="s">
        <v>55</v>
      </c>
      <c r="D4980" s="8">
        <v>500</v>
      </c>
      <c r="E4980" s="11">
        <v>384.68</v>
      </c>
      <c r="F4980" s="10">
        <f t="shared" ca="1" si="81"/>
        <v>192340</v>
      </c>
    </row>
    <row r="4981" spans="1:6" x14ac:dyDescent="0.25">
      <c r="A4981" s="8">
        <v>50121538</v>
      </c>
      <c r="B4981" s="9" t="str">
        <f t="shared" ca="1" si="80"/>
        <v>Pescado almacenado en repisa</v>
      </c>
      <c r="C4981" s="33" t="s">
        <v>55</v>
      </c>
      <c r="D4981" s="8">
        <v>500</v>
      </c>
      <c r="E4981" s="11">
        <v>148.68</v>
      </c>
      <c r="F4981" s="10">
        <f t="shared" ca="1" si="81"/>
        <v>74340</v>
      </c>
    </row>
    <row r="4982" spans="1:6" x14ac:dyDescent="0.25">
      <c r="A4982" s="8">
        <v>50101542</v>
      </c>
      <c r="B4982" s="9" t="str">
        <f t="shared" ca="1" si="80"/>
        <v>Harina vegetal</v>
      </c>
      <c r="C4982" s="33" t="s">
        <v>55</v>
      </c>
      <c r="D4982" s="8">
        <v>500</v>
      </c>
      <c r="E4982" s="11">
        <v>34.22</v>
      </c>
      <c r="F4982" s="10">
        <f t="shared" ca="1" si="81"/>
        <v>17110</v>
      </c>
    </row>
    <row r="4983" spans="1:6" x14ac:dyDescent="0.25">
      <c r="A4983" s="8">
        <v>50161511</v>
      </c>
      <c r="B4983" s="9" t="str">
        <f t="shared" ca="1" si="80"/>
        <v>Chocolate o sustituto de chocolate</v>
      </c>
      <c r="C4983" s="33" t="s">
        <v>55</v>
      </c>
      <c r="D4983" s="8">
        <v>500</v>
      </c>
      <c r="E4983" s="11">
        <v>112.1</v>
      </c>
      <c r="F4983" s="10">
        <f t="shared" ca="1" si="81"/>
        <v>56050</v>
      </c>
    </row>
    <row r="4984" spans="1:6" x14ac:dyDescent="0.25">
      <c r="A4984" s="8">
        <v>50221101</v>
      </c>
      <c r="B4984" s="9" t="str">
        <f t="shared" ca="1" si="80"/>
        <v>Grano de cereal</v>
      </c>
      <c r="C4984" s="33" t="s">
        <v>55</v>
      </c>
      <c r="D4984" s="8">
        <v>500</v>
      </c>
      <c r="E4984" s="11">
        <v>113.28</v>
      </c>
      <c r="F4984" s="10">
        <f t="shared" ca="1" si="81"/>
        <v>56640</v>
      </c>
    </row>
    <row r="4985" spans="1:6" x14ac:dyDescent="0.25">
      <c r="A4985" s="40"/>
      <c r="B4985" s="40"/>
      <c r="C4985" s="40"/>
      <c r="D4985" s="40"/>
      <c r="E4985" s="13" t="s">
        <v>87</v>
      </c>
      <c r="F4985" s="14">
        <f ca="1">SUM(Table3122184[MONTO TOTAL ESTIMADO])</f>
        <v>1261560</v>
      </c>
    </row>
    <row r="4986" spans="1:6" ht="15.75" thickBot="1" x14ac:dyDescent="0.3">
      <c r="A4986" s="42"/>
      <c r="B4986" s="42"/>
      <c r="C4986" s="42"/>
      <c r="D4986" s="42"/>
      <c r="E4986" s="42"/>
      <c r="F4986" s="42"/>
    </row>
    <row r="4987" spans="1:6" ht="23.25" thickBot="1" x14ac:dyDescent="0.3">
      <c r="A4987" s="4" t="s">
        <v>19</v>
      </c>
      <c r="B4987" s="4" t="s">
        <v>20</v>
      </c>
      <c r="C4987" s="4" t="s">
        <v>21</v>
      </c>
      <c r="D4987" s="4" t="s">
        <v>22</v>
      </c>
      <c r="E4987" s="4" t="s">
        <v>23</v>
      </c>
      <c r="F4987" s="4" t="s">
        <v>24</v>
      </c>
    </row>
    <row r="4988" spans="1:6" ht="15.75" thickBot="1" x14ac:dyDescent="0.3">
      <c r="A4988" s="32" t="s">
        <v>472</v>
      </c>
      <c r="B4988" s="32" t="s">
        <v>473</v>
      </c>
      <c r="C4988" s="32" t="s">
        <v>27</v>
      </c>
      <c r="D4988" s="6" t="s">
        <v>28</v>
      </c>
      <c r="E4988" s="6" t="s">
        <v>262</v>
      </c>
      <c r="F4988" s="6"/>
    </row>
    <row r="4989" spans="1:6" ht="15.75" thickBot="1" x14ac:dyDescent="0.3">
      <c r="A4989" s="35" t="s">
        <v>31</v>
      </c>
      <c r="B4989" s="7" t="s">
        <v>32</v>
      </c>
      <c r="C4989" s="15">
        <v>45474</v>
      </c>
      <c r="D4989" s="35" t="s">
        <v>33</v>
      </c>
      <c r="E4989" s="7" t="s">
        <v>34</v>
      </c>
      <c r="F4989" s="6"/>
    </row>
    <row r="4990" spans="1:6" ht="15.75" thickBot="1" x14ac:dyDescent="0.3">
      <c r="A4990" s="36"/>
      <c r="B4990" s="7" t="s">
        <v>36</v>
      </c>
      <c r="C4990" s="5">
        <f>IF(C4989="","",IF(AND(MONTH(C4989)&gt;=1,MONTH(C4989)&lt;=3),1,IF(AND(MONTH(C4989)&gt;=4,MONTH(C4989)&lt;=6),2,IF(AND(MONTH(C4989)&gt;=7,MONTH(C4989)&lt;=9),3,4))))</f>
        <v>3</v>
      </c>
      <c r="D4990" s="36"/>
      <c r="E4990" s="7" t="s">
        <v>37</v>
      </c>
      <c r="F4990" s="6"/>
    </row>
    <row r="4991" spans="1:6" ht="15.75" thickBot="1" x14ac:dyDescent="0.3">
      <c r="A4991" s="36"/>
      <c r="B4991" s="7" t="s">
        <v>39</v>
      </c>
      <c r="C4991" s="15">
        <v>45565</v>
      </c>
      <c r="D4991" s="36"/>
      <c r="E4991" s="7" t="s">
        <v>40</v>
      </c>
      <c r="F4991" s="6"/>
    </row>
    <row r="4992" spans="1:6" ht="15.75" thickBot="1" x14ac:dyDescent="0.3">
      <c r="A4992" s="36"/>
      <c r="B4992" s="7" t="s">
        <v>36</v>
      </c>
      <c r="C4992" s="5">
        <f>IF(C4991="","",IF(AND(MONTH(C4991)&gt;=1,MONTH(C4991)&lt;=3),1,IF(AND(MONTH(C4991)&gt;=4,MONTH(C4991)&lt;=6),2,IF(AND(MONTH(C4991)&gt;=7,MONTH(C4991)&lt;=9),3,4))))</f>
        <v>3</v>
      </c>
      <c r="D4992" s="36"/>
      <c r="E4992" s="7" t="s">
        <v>41</v>
      </c>
      <c r="F4992" s="6"/>
    </row>
    <row r="4993" spans="1:6" ht="15.75" thickBot="1" x14ac:dyDescent="0.3">
      <c r="A4993" s="40"/>
      <c r="B4993" s="40"/>
      <c r="C4993" s="40"/>
      <c r="D4993" s="40"/>
      <c r="E4993" s="40"/>
      <c r="F4993" s="40"/>
    </row>
    <row r="4994" spans="1:6" ht="15.75" thickBot="1" x14ac:dyDescent="0.3">
      <c r="A4994" s="12" t="s">
        <v>42</v>
      </c>
      <c r="B4994" s="12" t="s">
        <v>43</v>
      </c>
      <c r="C4994" s="12" t="s">
        <v>44</v>
      </c>
      <c r="D4994" s="12" t="s">
        <v>45</v>
      </c>
      <c r="E4994" s="12" t="s">
        <v>46</v>
      </c>
      <c r="F4994" s="12" t="s">
        <v>47</v>
      </c>
    </row>
    <row r="4995" spans="1:6" x14ac:dyDescent="0.25">
      <c r="A4995" s="8">
        <v>45121504</v>
      </c>
      <c r="B4995" s="9" t="str">
        <f ca="1">IFERROR(INDEX(UNSPSCDes,MATCH(INDIRECT(ADDRESS(ROW(),COLUMN()-1,4)),UNSPSCCode,0)),"")</f>
        <v>Cámaras digitales</v>
      </c>
      <c r="C4995" s="33" t="s">
        <v>55</v>
      </c>
      <c r="D4995" s="8">
        <v>2</v>
      </c>
      <c r="E4995" s="11">
        <v>400050.44</v>
      </c>
      <c r="F4995" s="10">
        <f ca="1">INDIRECT(ADDRESS(ROW(),COLUMN()-2,4))*INDIRECT(ADDRESS(ROW(),COLUMN()-1,4))</f>
        <v>800100.88</v>
      </c>
    </row>
    <row r="4996" spans="1:6" x14ac:dyDescent="0.25">
      <c r="A4996" s="8">
        <v>46171610</v>
      </c>
      <c r="B4996" s="9" t="str">
        <f ca="1">IFERROR(INDEX(UNSPSCDes,MATCH(INDIRECT(ADDRESS(ROW(),COLUMN()-1,4)),UNSPSCCode,0)),"")</f>
        <v>Cámaras de seguridad</v>
      </c>
      <c r="C4996" s="33" t="s">
        <v>55</v>
      </c>
      <c r="D4996" s="8">
        <v>5</v>
      </c>
      <c r="E4996" s="11">
        <v>35000</v>
      </c>
      <c r="F4996" s="10">
        <f ca="1">INDIRECT(ADDRESS(ROW(),COLUMN()-2,4))*INDIRECT(ADDRESS(ROW(),COLUMN()-1,4))</f>
        <v>175000</v>
      </c>
    </row>
    <row r="4997" spans="1:6" x14ac:dyDescent="0.25">
      <c r="A4997" s="8">
        <v>45121516</v>
      </c>
      <c r="B4997" s="9" t="str">
        <f ca="1">IFERROR(INDEX(UNSPSCDes,MATCH(INDIRECT(ADDRESS(ROW(),COLUMN()-1,4)),UNSPSCCode,0)),"")</f>
        <v>Cámaras grabadoras o video cámaras digitales</v>
      </c>
      <c r="C4997" s="33" t="s">
        <v>55</v>
      </c>
      <c r="D4997" s="8">
        <v>20</v>
      </c>
      <c r="E4997" s="11">
        <v>22000</v>
      </c>
      <c r="F4997" s="10">
        <f ca="1">INDIRECT(ADDRESS(ROW(),COLUMN()-2,4))*INDIRECT(ADDRESS(ROW(),COLUMN()-1,4))</f>
        <v>440000</v>
      </c>
    </row>
    <row r="4998" spans="1:6" x14ac:dyDescent="0.25">
      <c r="A4998" s="8">
        <v>45121516</v>
      </c>
      <c r="B4998" s="9" t="str">
        <f ca="1">IFERROR(INDEX(UNSPSCDes,MATCH(INDIRECT(ADDRESS(ROW(),COLUMN()-1,4)),UNSPSCCode,0)),"")</f>
        <v>Cámaras grabadoras o video cámaras digitales</v>
      </c>
      <c r="C4998" s="33" t="s">
        <v>55</v>
      </c>
      <c r="D4998" s="8">
        <v>20</v>
      </c>
      <c r="E4998" s="11">
        <v>15000</v>
      </c>
      <c r="F4998" s="10">
        <f ca="1">INDIRECT(ADDRESS(ROW(),COLUMN()-2,4))*INDIRECT(ADDRESS(ROW(),COLUMN()-1,4))</f>
        <v>300000</v>
      </c>
    </row>
    <row r="4999" spans="1:6" x14ac:dyDescent="0.25">
      <c r="A4999" s="40"/>
      <c r="B4999" s="40"/>
      <c r="C4999" s="40"/>
      <c r="D4999" s="40"/>
      <c r="E4999" s="13" t="s">
        <v>87</v>
      </c>
      <c r="F4999" s="14">
        <f ca="1">SUM(Table3125185[MONTO TOTAL ESTIMADO])</f>
        <v>1715100.88</v>
      </c>
    </row>
    <row r="5000" spans="1:6" ht="15.75" thickBot="1" x14ac:dyDescent="0.3">
      <c r="A5000" s="42"/>
      <c r="B5000" s="42"/>
      <c r="C5000" s="42"/>
      <c r="D5000" s="42"/>
      <c r="E5000" s="42"/>
      <c r="F5000" s="42"/>
    </row>
    <row r="5001" spans="1:6" ht="23.25" thickBot="1" x14ac:dyDescent="0.3">
      <c r="A5001" s="4" t="s">
        <v>19</v>
      </c>
      <c r="B5001" s="4" t="s">
        <v>20</v>
      </c>
      <c r="C5001" s="4" t="s">
        <v>21</v>
      </c>
      <c r="D5001" s="4" t="s">
        <v>22</v>
      </c>
      <c r="E5001" s="4" t="s">
        <v>23</v>
      </c>
      <c r="F5001" s="4" t="s">
        <v>24</v>
      </c>
    </row>
    <row r="5002" spans="1:6" ht="15.75" thickBot="1" x14ac:dyDescent="0.3">
      <c r="A5002" s="32" t="s">
        <v>462</v>
      </c>
      <c r="B5002" s="32" t="s">
        <v>463</v>
      </c>
      <c r="C5002" s="6" t="s">
        <v>27</v>
      </c>
      <c r="D5002" s="6" t="s">
        <v>28</v>
      </c>
      <c r="E5002" s="6" t="s">
        <v>262</v>
      </c>
      <c r="F5002" s="6"/>
    </row>
    <row r="5003" spans="1:6" ht="15.75" thickBot="1" x14ac:dyDescent="0.3">
      <c r="A5003" s="35" t="s">
        <v>31</v>
      </c>
      <c r="B5003" s="7" t="s">
        <v>32</v>
      </c>
      <c r="C5003" s="15">
        <v>45474</v>
      </c>
      <c r="D5003" s="35" t="s">
        <v>33</v>
      </c>
      <c r="E5003" s="7" t="s">
        <v>34</v>
      </c>
      <c r="F5003" s="6"/>
    </row>
    <row r="5004" spans="1:6" ht="15.75" thickBot="1" x14ac:dyDescent="0.3">
      <c r="A5004" s="36"/>
      <c r="B5004" s="7" t="s">
        <v>36</v>
      </c>
      <c r="C5004" s="5">
        <f>IF(C5003="","",IF(AND(MONTH(C5003)&gt;=1,MONTH(C5003)&lt;=3),1,IF(AND(MONTH(C5003)&gt;=4,MONTH(C5003)&lt;=6),2,IF(AND(MONTH(C5003)&gt;=7,MONTH(C5003)&lt;=9),3,4))))</f>
        <v>3</v>
      </c>
      <c r="D5004" s="36"/>
      <c r="E5004" s="7" t="s">
        <v>37</v>
      </c>
      <c r="F5004" s="6"/>
    </row>
    <row r="5005" spans="1:6" ht="15.75" thickBot="1" x14ac:dyDescent="0.3">
      <c r="A5005" s="36"/>
      <c r="B5005" s="7" t="s">
        <v>39</v>
      </c>
      <c r="C5005" s="15">
        <v>45565</v>
      </c>
      <c r="D5005" s="36"/>
      <c r="E5005" s="7" t="s">
        <v>40</v>
      </c>
      <c r="F5005" s="6"/>
    </row>
    <row r="5006" spans="1:6" ht="15.75" thickBot="1" x14ac:dyDescent="0.3">
      <c r="A5006" s="36"/>
      <c r="B5006" s="7" t="s">
        <v>36</v>
      </c>
      <c r="C5006" s="5">
        <f>IF(C5005="","",IF(AND(MONTH(C5005)&gt;=1,MONTH(C5005)&lt;=3),1,IF(AND(MONTH(C5005)&gt;=4,MONTH(C5005)&lt;=6),2,IF(AND(MONTH(C5005)&gt;=7,MONTH(C5005)&lt;=9),3,4))))</f>
        <v>3</v>
      </c>
      <c r="D5006" s="36"/>
      <c r="E5006" s="7" t="s">
        <v>41</v>
      </c>
      <c r="F5006" s="6"/>
    </row>
    <row r="5007" spans="1:6" ht="15.75" thickBot="1" x14ac:dyDescent="0.3">
      <c r="A5007" s="40"/>
      <c r="B5007" s="40"/>
      <c r="C5007" s="40"/>
      <c r="D5007" s="40"/>
      <c r="E5007" s="40"/>
      <c r="F5007" s="40"/>
    </row>
    <row r="5008" spans="1:6" ht="15.75" thickBot="1" x14ac:dyDescent="0.3">
      <c r="A5008" s="12" t="s">
        <v>42</v>
      </c>
      <c r="B5008" s="12" t="s">
        <v>43</v>
      </c>
      <c r="C5008" s="12" t="s">
        <v>44</v>
      </c>
      <c r="D5008" s="12" t="s">
        <v>45</v>
      </c>
      <c r="E5008" s="12" t="s">
        <v>46</v>
      </c>
      <c r="F5008" s="12" t="s">
        <v>47</v>
      </c>
    </row>
    <row r="5009" spans="1:6" x14ac:dyDescent="0.25">
      <c r="A5009" s="8">
        <v>50161509</v>
      </c>
      <c r="B5009" s="9" t="str">
        <f t="shared" ref="B5009:B5022" ca="1" si="82">IFERROR(INDEX(UNSPSCDes,MATCH(INDIRECT(ADDRESS(ROW(),COLUMN()-1,4)),UNSPSCCode,0)),"")</f>
        <v>Azucares naturales o productos endulzantes</v>
      </c>
      <c r="C5009" s="8" t="s">
        <v>74</v>
      </c>
      <c r="D5009" s="8">
        <v>500</v>
      </c>
      <c r="E5009" s="11">
        <v>83.78</v>
      </c>
      <c r="F5009" s="10">
        <f t="shared" ref="F5009:F5022" ca="1" si="83">INDIRECT(ADDRESS(ROW(),COLUMN()-2,4))*INDIRECT(ADDRESS(ROW(),COLUMN()-1,4))</f>
        <v>41890</v>
      </c>
    </row>
    <row r="5010" spans="1:6" x14ac:dyDescent="0.25">
      <c r="A5010" s="8">
        <v>50221101</v>
      </c>
      <c r="B5010" s="9" t="str">
        <f t="shared" ca="1" si="82"/>
        <v>Grano de cereal</v>
      </c>
      <c r="C5010" s="33" t="s">
        <v>74</v>
      </c>
      <c r="D5010" s="8">
        <v>500</v>
      </c>
      <c r="E5010" s="11">
        <v>231.38</v>
      </c>
      <c r="F5010" s="10">
        <f t="shared" ca="1" si="83"/>
        <v>115690</v>
      </c>
    </row>
    <row r="5011" spans="1:6" x14ac:dyDescent="0.25">
      <c r="A5011" s="8">
        <v>50151513</v>
      </c>
      <c r="B5011" s="9" t="str">
        <f t="shared" ca="1" si="82"/>
        <v>Aceites vegetales o  de planta comestibles</v>
      </c>
      <c r="C5011" s="33" t="s">
        <v>55</v>
      </c>
      <c r="D5011" s="8">
        <v>500</v>
      </c>
      <c r="E5011" s="11">
        <v>132.16</v>
      </c>
      <c r="F5011" s="10">
        <f t="shared" ca="1" si="83"/>
        <v>66080</v>
      </c>
    </row>
    <row r="5012" spans="1:6" x14ac:dyDescent="0.25">
      <c r="A5012" s="8">
        <v>50192111</v>
      </c>
      <c r="B5012" s="9" t="str">
        <f t="shared" ca="1" si="82"/>
        <v>Carne seca o procesada</v>
      </c>
      <c r="C5012" s="33" t="s">
        <v>55</v>
      </c>
      <c r="D5012" s="8">
        <v>500</v>
      </c>
      <c r="E5012" s="11">
        <v>619.5</v>
      </c>
      <c r="F5012" s="10">
        <f t="shared" ca="1" si="83"/>
        <v>309750</v>
      </c>
    </row>
    <row r="5013" spans="1:6" x14ac:dyDescent="0.25">
      <c r="A5013" s="8">
        <v>50201706</v>
      </c>
      <c r="B5013" s="9" t="str">
        <f t="shared" ca="1" si="82"/>
        <v>Café</v>
      </c>
      <c r="C5013" s="33" t="s">
        <v>74</v>
      </c>
      <c r="D5013" s="8">
        <v>500</v>
      </c>
      <c r="E5013" s="11">
        <v>188.8</v>
      </c>
      <c r="F5013" s="10">
        <f t="shared" ca="1" si="83"/>
        <v>94400</v>
      </c>
    </row>
    <row r="5014" spans="1:6" x14ac:dyDescent="0.25">
      <c r="A5014" s="8">
        <v>50171831</v>
      </c>
      <c r="B5014" s="9" t="str">
        <f t="shared" ca="1" si="82"/>
        <v>Salsas para cocinar</v>
      </c>
      <c r="C5014" s="33" t="s">
        <v>55</v>
      </c>
      <c r="D5014" s="8">
        <v>500</v>
      </c>
      <c r="E5014" s="11">
        <v>105.2</v>
      </c>
      <c r="F5014" s="10">
        <f t="shared" ca="1" si="83"/>
        <v>52600</v>
      </c>
    </row>
    <row r="5015" spans="1:6" x14ac:dyDescent="0.25">
      <c r="A5015" s="8">
        <v>50121538</v>
      </c>
      <c r="B5015" s="9" t="str">
        <f t="shared" ca="1" si="82"/>
        <v>Pescado almacenado en repisa</v>
      </c>
      <c r="C5015" s="33" t="s">
        <v>55</v>
      </c>
      <c r="D5015" s="8">
        <v>500</v>
      </c>
      <c r="E5015" s="11">
        <v>142.78</v>
      </c>
      <c r="F5015" s="10">
        <f t="shared" ca="1" si="83"/>
        <v>71390</v>
      </c>
    </row>
    <row r="5016" spans="1:6" x14ac:dyDescent="0.25">
      <c r="A5016" s="8">
        <v>50192902</v>
      </c>
      <c r="B5016" s="9" t="str">
        <f t="shared" ca="1" si="82"/>
        <v>Pasta o fideos de repisa</v>
      </c>
      <c r="C5016" s="33" t="s">
        <v>55</v>
      </c>
      <c r="D5016" s="8">
        <v>500</v>
      </c>
      <c r="E5016" s="11">
        <v>48.38</v>
      </c>
      <c r="F5016" s="10">
        <f t="shared" ca="1" si="83"/>
        <v>24190</v>
      </c>
    </row>
    <row r="5017" spans="1:6" x14ac:dyDescent="0.25">
      <c r="A5017" s="8">
        <v>50101543</v>
      </c>
      <c r="B5017" s="9" t="str">
        <f t="shared" ca="1" si="82"/>
        <v>Judías secas</v>
      </c>
      <c r="C5017" s="33" t="s">
        <v>55</v>
      </c>
      <c r="D5017" s="8">
        <v>500</v>
      </c>
      <c r="E5017" s="11">
        <v>178.18</v>
      </c>
      <c r="F5017" s="10">
        <f t="shared" ca="1" si="83"/>
        <v>89090</v>
      </c>
    </row>
    <row r="5018" spans="1:6" x14ac:dyDescent="0.25">
      <c r="A5018" s="8">
        <v>50131701</v>
      </c>
      <c r="B5018" s="9" t="str">
        <f t="shared" ca="1" si="82"/>
        <v>Productos de leche o mantequilla frescos</v>
      </c>
      <c r="C5018" s="33" t="s">
        <v>55</v>
      </c>
      <c r="D5018" s="8">
        <v>500</v>
      </c>
      <c r="E5018" s="11">
        <v>384.68</v>
      </c>
      <c r="F5018" s="10">
        <f t="shared" ca="1" si="83"/>
        <v>192340</v>
      </c>
    </row>
    <row r="5019" spans="1:6" x14ac:dyDescent="0.25">
      <c r="A5019" s="8">
        <v>50121538</v>
      </c>
      <c r="B5019" s="9" t="str">
        <f t="shared" ca="1" si="82"/>
        <v>Pescado almacenado en repisa</v>
      </c>
      <c r="C5019" s="33" t="s">
        <v>55</v>
      </c>
      <c r="D5019" s="8">
        <v>500</v>
      </c>
      <c r="E5019" s="11">
        <v>148.68</v>
      </c>
      <c r="F5019" s="10">
        <f t="shared" ca="1" si="83"/>
        <v>74340</v>
      </c>
    </row>
    <row r="5020" spans="1:6" x14ac:dyDescent="0.25">
      <c r="A5020" s="8">
        <v>50101542</v>
      </c>
      <c r="B5020" s="9" t="str">
        <f t="shared" ca="1" si="82"/>
        <v>Harina vegetal</v>
      </c>
      <c r="C5020" s="33" t="s">
        <v>55</v>
      </c>
      <c r="D5020" s="8">
        <v>500</v>
      </c>
      <c r="E5020" s="11">
        <v>34.22</v>
      </c>
      <c r="F5020" s="10">
        <f t="shared" ca="1" si="83"/>
        <v>17110</v>
      </c>
    </row>
    <row r="5021" spans="1:6" x14ac:dyDescent="0.25">
      <c r="A5021" s="8">
        <v>50161511</v>
      </c>
      <c r="B5021" s="9" t="str">
        <f t="shared" ca="1" si="82"/>
        <v>Chocolate o sustituto de chocolate</v>
      </c>
      <c r="C5021" s="33" t="s">
        <v>55</v>
      </c>
      <c r="D5021" s="8">
        <v>500</v>
      </c>
      <c r="E5021" s="11">
        <v>112.1</v>
      </c>
      <c r="F5021" s="10">
        <f t="shared" ca="1" si="83"/>
        <v>56050</v>
      </c>
    </row>
    <row r="5022" spans="1:6" x14ac:dyDescent="0.25">
      <c r="A5022" s="8">
        <v>50221101</v>
      </c>
      <c r="B5022" s="9" t="str">
        <f t="shared" ca="1" si="82"/>
        <v>Grano de cereal</v>
      </c>
      <c r="C5022" s="33" t="s">
        <v>55</v>
      </c>
      <c r="D5022" s="8">
        <v>500</v>
      </c>
      <c r="E5022" s="11">
        <v>113.28</v>
      </c>
      <c r="F5022" s="10">
        <f t="shared" ca="1" si="83"/>
        <v>56640</v>
      </c>
    </row>
    <row r="5023" spans="1:6" x14ac:dyDescent="0.25">
      <c r="A5023" s="40"/>
      <c r="B5023" s="40"/>
      <c r="C5023" s="40"/>
      <c r="D5023" s="40"/>
      <c r="E5023" s="13" t="s">
        <v>87</v>
      </c>
      <c r="F5023" s="14">
        <f ca="1">SUM(Table3126186[MONTO TOTAL ESTIMADO])</f>
        <v>1261560</v>
      </c>
    </row>
    <row r="5024" spans="1:6" ht="15.75" thickBot="1" x14ac:dyDescent="0.3">
      <c r="A5024" s="42"/>
      <c r="B5024" s="42"/>
      <c r="C5024" s="42"/>
      <c r="D5024" s="42"/>
      <c r="E5024" s="42"/>
      <c r="F5024" s="42"/>
    </row>
    <row r="5025" spans="1:6" ht="23.25" thickBot="1" x14ac:dyDescent="0.3">
      <c r="A5025" s="4" t="s">
        <v>19</v>
      </c>
      <c r="B5025" s="4" t="s">
        <v>20</v>
      </c>
      <c r="C5025" s="4" t="s">
        <v>21</v>
      </c>
      <c r="D5025" s="4" t="s">
        <v>22</v>
      </c>
      <c r="E5025" s="4" t="s">
        <v>23</v>
      </c>
      <c r="F5025" s="4" t="s">
        <v>24</v>
      </c>
    </row>
    <row r="5026" spans="1:6" ht="15.75" thickBot="1" x14ac:dyDescent="0.3">
      <c r="A5026" s="32" t="s">
        <v>477</v>
      </c>
      <c r="B5026" s="32" t="s">
        <v>478</v>
      </c>
      <c r="C5026" s="32" t="s">
        <v>27</v>
      </c>
      <c r="D5026" s="6" t="s">
        <v>28</v>
      </c>
      <c r="E5026" s="6" t="s">
        <v>262</v>
      </c>
      <c r="F5026" s="6"/>
    </row>
    <row r="5027" spans="1:6" ht="15.75" thickBot="1" x14ac:dyDescent="0.3">
      <c r="A5027" s="35" t="s">
        <v>31</v>
      </c>
      <c r="B5027" s="7" t="s">
        <v>32</v>
      </c>
      <c r="C5027" s="15">
        <v>45474</v>
      </c>
      <c r="D5027" s="35" t="s">
        <v>33</v>
      </c>
      <c r="E5027" s="7" t="s">
        <v>34</v>
      </c>
      <c r="F5027" s="6"/>
    </row>
    <row r="5028" spans="1:6" ht="15.75" thickBot="1" x14ac:dyDescent="0.3">
      <c r="A5028" s="36"/>
      <c r="B5028" s="7" t="s">
        <v>36</v>
      </c>
      <c r="C5028" s="5">
        <f>IF(C5027="","",IF(AND(MONTH(C5027)&gt;=1,MONTH(C5027)&lt;=3),1,IF(AND(MONTH(C5027)&gt;=4,MONTH(C5027)&lt;=6),2,IF(AND(MONTH(C5027)&gt;=7,MONTH(C5027)&lt;=9),3,4))))</f>
        <v>3</v>
      </c>
      <c r="D5028" s="36"/>
      <c r="E5028" s="7" t="s">
        <v>37</v>
      </c>
      <c r="F5028" s="6"/>
    </row>
    <row r="5029" spans="1:6" ht="15.75" thickBot="1" x14ac:dyDescent="0.3">
      <c r="A5029" s="36"/>
      <c r="B5029" s="7" t="s">
        <v>39</v>
      </c>
      <c r="C5029" s="15">
        <v>45565</v>
      </c>
      <c r="D5029" s="36"/>
      <c r="E5029" s="7" t="s">
        <v>40</v>
      </c>
      <c r="F5029" s="6"/>
    </row>
    <row r="5030" spans="1:6" ht="15.75" thickBot="1" x14ac:dyDescent="0.3">
      <c r="A5030" s="36"/>
      <c r="B5030" s="7" t="s">
        <v>36</v>
      </c>
      <c r="C5030" s="5">
        <f>IF(C5029="","",IF(AND(MONTH(C5029)&gt;=1,MONTH(C5029)&lt;=3),1,IF(AND(MONTH(C5029)&gt;=4,MONTH(C5029)&lt;=6),2,IF(AND(MONTH(C5029)&gt;=7,MONTH(C5029)&lt;=9),3,4))))</f>
        <v>3</v>
      </c>
      <c r="D5030" s="36"/>
      <c r="E5030" s="7" t="s">
        <v>41</v>
      </c>
      <c r="F5030" s="6"/>
    </row>
    <row r="5031" spans="1:6" ht="15.75" thickBot="1" x14ac:dyDescent="0.3">
      <c r="A5031" s="40"/>
      <c r="B5031" s="40"/>
      <c r="C5031" s="40"/>
      <c r="D5031" s="40"/>
      <c r="E5031" s="40"/>
      <c r="F5031" s="40"/>
    </row>
    <row r="5032" spans="1:6" ht="15.75" thickBot="1" x14ac:dyDescent="0.3">
      <c r="A5032" s="12" t="s">
        <v>42</v>
      </c>
      <c r="B5032" s="12" t="s">
        <v>43</v>
      </c>
      <c r="C5032" s="12" t="s">
        <v>44</v>
      </c>
      <c r="D5032" s="12" t="s">
        <v>45</v>
      </c>
      <c r="E5032" s="12" t="s">
        <v>46</v>
      </c>
      <c r="F5032" s="12" t="s">
        <v>47</v>
      </c>
    </row>
    <row r="5033" spans="1:6" x14ac:dyDescent="0.25">
      <c r="A5033" s="8">
        <v>52161518</v>
      </c>
      <c r="B5033" s="9" t="str">
        <f ca="1">IFERROR(INDEX(UNSPSCDes,MATCH(INDIRECT(ADDRESS(ROW(),COLUMN()-1,4)),UNSPSCCode,0)),"")</f>
        <v>Receptores de sistemas de posicionamiento global</v>
      </c>
      <c r="C5033" s="33" t="s">
        <v>55</v>
      </c>
      <c r="D5033" s="8">
        <v>30</v>
      </c>
      <c r="E5033" s="11">
        <v>16000</v>
      </c>
      <c r="F5033" s="10">
        <f ca="1">INDIRECT(ADDRESS(ROW(),COLUMN()-2,4))*INDIRECT(ADDRESS(ROW(),COLUMN()-1,4))</f>
        <v>480000</v>
      </c>
    </row>
    <row r="5034" spans="1:6" x14ac:dyDescent="0.25">
      <c r="A5034" s="8">
        <v>46171621</v>
      </c>
      <c r="B5034" s="9" t="str">
        <f ca="1">IFERROR(INDEX(UNSPSCDes,MATCH(INDIRECT(ADDRESS(ROW(),COLUMN()-1,4)),UNSPSCCode,0)),"")</f>
        <v>Grabadoras de video o audio de vigilancia</v>
      </c>
      <c r="C5034" s="33" t="s">
        <v>55</v>
      </c>
      <c r="D5034" s="8">
        <v>20</v>
      </c>
      <c r="E5034" s="11">
        <v>32000</v>
      </c>
      <c r="F5034" s="10">
        <f ca="1">INDIRECT(ADDRESS(ROW(),COLUMN()-2,4))*INDIRECT(ADDRESS(ROW(),COLUMN()-1,4))</f>
        <v>640000</v>
      </c>
    </row>
    <row r="5035" spans="1:6" x14ac:dyDescent="0.25">
      <c r="A5035" s="40"/>
      <c r="B5035" s="40"/>
      <c r="C5035" s="40"/>
      <c r="D5035" s="40"/>
      <c r="E5035" s="13" t="s">
        <v>87</v>
      </c>
      <c r="F5035" s="14">
        <f ca="1">SUM(Table3127187[MONTO TOTAL ESTIMADO])</f>
        <v>1120000</v>
      </c>
    </row>
    <row r="5036" spans="1:6" ht="15.75" thickBot="1" x14ac:dyDescent="0.3">
      <c r="A5036" s="42"/>
      <c r="B5036" s="42"/>
      <c r="C5036" s="42"/>
      <c r="D5036" s="42"/>
      <c r="E5036" s="42"/>
      <c r="F5036" s="42"/>
    </row>
    <row r="5037" spans="1:6" ht="23.25" thickBot="1" x14ac:dyDescent="0.3">
      <c r="A5037" s="4" t="s">
        <v>19</v>
      </c>
      <c r="B5037" s="4" t="s">
        <v>20</v>
      </c>
      <c r="C5037" s="4" t="s">
        <v>21</v>
      </c>
      <c r="D5037" s="4" t="s">
        <v>22</v>
      </c>
      <c r="E5037" s="4" t="s">
        <v>23</v>
      </c>
      <c r="F5037" s="4" t="s">
        <v>24</v>
      </c>
    </row>
    <row r="5038" spans="1:6" ht="15.75" thickBot="1" x14ac:dyDescent="0.3">
      <c r="A5038" s="32" t="s">
        <v>462</v>
      </c>
      <c r="B5038" s="32" t="s">
        <v>463</v>
      </c>
      <c r="C5038" s="32" t="s">
        <v>27</v>
      </c>
      <c r="D5038" s="6" t="s">
        <v>28</v>
      </c>
      <c r="E5038" s="6" t="s">
        <v>262</v>
      </c>
      <c r="F5038" s="6"/>
    </row>
    <row r="5039" spans="1:6" ht="15.75" thickBot="1" x14ac:dyDescent="0.3">
      <c r="A5039" s="35" t="s">
        <v>31</v>
      </c>
      <c r="B5039" s="7" t="s">
        <v>32</v>
      </c>
      <c r="C5039" s="15">
        <v>45474</v>
      </c>
      <c r="D5039" s="35" t="s">
        <v>33</v>
      </c>
      <c r="E5039" s="7" t="s">
        <v>34</v>
      </c>
      <c r="F5039" s="6"/>
    </row>
    <row r="5040" spans="1:6" ht="15.75" thickBot="1" x14ac:dyDescent="0.3">
      <c r="A5040" s="36"/>
      <c r="B5040" s="7" t="s">
        <v>36</v>
      </c>
      <c r="C5040" s="5">
        <f>IF(C5039="","",IF(AND(MONTH(C5039)&gt;=1,MONTH(C5039)&lt;=3),1,IF(AND(MONTH(C5039)&gt;=4,MONTH(C5039)&lt;=6),2,IF(AND(MONTH(C5039)&gt;=7,MONTH(C5039)&lt;=9),3,4))))</f>
        <v>3</v>
      </c>
      <c r="D5040" s="36"/>
      <c r="E5040" s="7" t="s">
        <v>37</v>
      </c>
      <c r="F5040" s="6"/>
    </row>
    <row r="5041" spans="1:6" ht="15.75" thickBot="1" x14ac:dyDescent="0.3">
      <c r="A5041" s="36"/>
      <c r="B5041" s="7" t="s">
        <v>39</v>
      </c>
      <c r="C5041" s="15">
        <v>45565</v>
      </c>
      <c r="D5041" s="36"/>
      <c r="E5041" s="7" t="s">
        <v>40</v>
      </c>
      <c r="F5041" s="6"/>
    </row>
    <row r="5042" spans="1:6" ht="15.75" thickBot="1" x14ac:dyDescent="0.3">
      <c r="A5042" s="36"/>
      <c r="B5042" s="7" t="s">
        <v>36</v>
      </c>
      <c r="C5042" s="5">
        <f>IF(C5041="","",IF(AND(MONTH(C5041)&gt;=1,MONTH(C5041)&lt;=3),1,IF(AND(MONTH(C5041)&gt;=4,MONTH(C5041)&lt;=6),2,IF(AND(MONTH(C5041)&gt;=7,MONTH(C5041)&lt;=9),3,4))))</f>
        <v>3</v>
      </c>
      <c r="D5042" s="36"/>
      <c r="E5042" s="7" t="s">
        <v>41</v>
      </c>
      <c r="F5042" s="6"/>
    </row>
    <row r="5043" spans="1:6" ht="15.75" thickBot="1" x14ac:dyDescent="0.3">
      <c r="A5043" s="40"/>
      <c r="B5043" s="40"/>
      <c r="C5043" s="40"/>
      <c r="D5043" s="40"/>
      <c r="E5043" s="40"/>
      <c r="F5043" s="40"/>
    </row>
    <row r="5044" spans="1:6" ht="15.75" thickBot="1" x14ac:dyDescent="0.3">
      <c r="A5044" s="12" t="s">
        <v>42</v>
      </c>
      <c r="B5044" s="12" t="s">
        <v>43</v>
      </c>
      <c r="C5044" s="12" t="s">
        <v>44</v>
      </c>
      <c r="D5044" s="12" t="s">
        <v>45</v>
      </c>
      <c r="E5044" s="12" t="s">
        <v>46</v>
      </c>
      <c r="F5044" s="12" t="s">
        <v>47</v>
      </c>
    </row>
    <row r="5045" spans="1:6" x14ac:dyDescent="0.25">
      <c r="A5045" s="8">
        <v>50161509</v>
      </c>
      <c r="B5045" s="9" t="str">
        <f t="shared" ref="B5045:B5058" ca="1" si="84">IFERROR(INDEX(UNSPSCDes,MATCH(INDIRECT(ADDRESS(ROW(),COLUMN()-1,4)),UNSPSCCode,0)),"")</f>
        <v>Azucares naturales o productos endulzantes</v>
      </c>
      <c r="C5045" s="8" t="s">
        <v>74</v>
      </c>
      <c r="D5045" s="8">
        <v>500</v>
      </c>
      <c r="E5045" s="11">
        <v>83.78</v>
      </c>
      <c r="F5045" s="10">
        <f t="shared" ref="F5045:F5058" ca="1" si="85">INDIRECT(ADDRESS(ROW(),COLUMN()-2,4))*INDIRECT(ADDRESS(ROW(),COLUMN()-1,4))</f>
        <v>41890</v>
      </c>
    </row>
    <row r="5046" spans="1:6" x14ac:dyDescent="0.25">
      <c r="A5046" s="8">
        <v>50221101</v>
      </c>
      <c r="B5046" s="9" t="str">
        <f t="shared" ca="1" si="84"/>
        <v>Grano de cereal</v>
      </c>
      <c r="C5046" s="33" t="s">
        <v>74</v>
      </c>
      <c r="D5046" s="8">
        <v>500</v>
      </c>
      <c r="E5046" s="11">
        <v>231.38</v>
      </c>
      <c r="F5046" s="10">
        <f t="shared" ca="1" si="85"/>
        <v>115690</v>
      </c>
    </row>
    <row r="5047" spans="1:6" x14ac:dyDescent="0.25">
      <c r="A5047" s="8">
        <v>50151513</v>
      </c>
      <c r="B5047" s="9" t="str">
        <f t="shared" ca="1" si="84"/>
        <v>Aceites vegetales o  de planta comestibles</v>
      </c>
      <c r="C5047" s="33" t="s">
        <v>55</v>
      </c>
      <c r="D5047" s="8">
        <v>500</v>
      </c>
      <c r="E5047" s="11">
        <v>132.16</v>
      </c>
      <c r="F5047" s="10">
        <f t="shared" ca="1" si="85"/>
        <v>66080</v>
      </c>
    </row>
    <row r="5048" spans="1:6" x14ac:dyDescent="0.25">
      <c r="A5048" s="8">
        <v>50192111</v>
      </c>
      <c r="B5048" s="9" t="str">
        <f t="shared" ca="1" si="84"/>
        <v>Carne seca o procesada</v>
      </c>
      <c r="C5048" s="33" t="s">
        <v>55</v>
      </c>
      <c r="D5048" s="8">
        <v>500</v>
      </c>
      <c r="E5048" s="11">
        <v>619.5</v>
      </c>
      <c r="F5048" s="10">
        <f t="shared" ca="1" si="85"/>
        <v>309750</v>
      </c>
    </row>
    <row r="5049" spans="1:6" x14ac:dyDescent="0.25">
      <c r="A5049" s="8">
        <v>50201706</v>
      </c>
      <c r="B5049" s="9" t="str">
        <f t="shared" ca="1" si="84"/>
        <v>Café</v>
      </c>
      <c r="C5049" s="33" t="s">
        <v>74</v>
      </c>
      <c r="D5049" s="8">
        <v>500</v>
      </c>
      <c r="E5049" s="11">
        <v>188.8</v>
      </c>
      <c r="F5049" s="10">
        <f t="shared" ca="1" si="85"/>
        <v>94400</v>
      </c>
    </row>
    <row r="5050" spans="1:6" x14ac:dyDescent="0.25">
      <c r="A5050" s="8">
        <v>50171831</v>
      </c>
      <c r="B5050" s="9" t="str">
        <f t="shared" ca="1" si="84"/>
        <v>Salsas para cocinar</v>
      </c>
      <c r="C5050" s="33" t="s">
        <v>55</v>
      </c>
      <c r="D5050" s="8">
        <v>500</v>
      </c>
      <c r="E5050" s="11">
        <v>105.2</v>
      </c>
      <c r="F5050" s="10">
        <f t="shared" ca="1" si="85"/>
        <v>52600</v>
      </c>
    </row>
    <row r="5051" spans="1:6" x14ac:dyDescent="0.25">
      <c r="A5051" s="8">
        <v>50121538</v>
      </c>
      <c r="B5051" s="9" t="str">
        <f t="shared" ca="1" si="84"/>
        <v>Pescado almacenado en repisa</v>
      </c>
      <c r="C5051" s="33" t="s">
        <v>55</v>
      </c>
      <c r="D5051" s="8">
        <v>500</v>
      </c>
      <c r="E5051" s="11">
        <v>142.78</v>
      </c>
      <c r="F5051" s="10">
        <f t="shared" ca="1" si="85"/>
        <v>71390</v>
      </c>
    </row>
    <row r="5052" spans="1:6" x14ac:dyDescent="0.25">
      <c r="A5052" s="8">
        <v>50192902</v>
      </c>
      <c r="B5052" s="9" t="str">
        <f t="shared" ca="1" si="84"/>
        <v>Pasta o fideos de repisa</v>
      </c>
      <c r="C5052" s="33" t="s">
        <v>55</v>
      </c>
      <c r="D5052" s="8">
        <v>500</v>
      </c>
      <c r="E5052" s="11">
        <v>48.38</v>
      </c>
      <c r="F5052" s="10">
        <f t="shared" ca="1" si="85"/>
        <v>24190</v>
      </c>
    </row>
    <row r="5053" spans="1:6" x14ac:dyDescent="0.25">
      <c r="A5053" s="8">
        <v>50101543</v>
      </c>
      <c r="B5053" s="9" t="str">
        <f t="shared" ca="1" si="84"/>
        <v>Judías secas</v>
      </c>
      <c r="C5053" s="33" t="s">
        <v>55</v>
      </c>
      <c r="D5053" s="8">
        <v>500</v>
      </c>
      <c r="E5053" s="11">
        <v>178.18</v>
      </c>
      <c r="F5053" s="10">
        <f t="shared" ca="1" si="85"/>
        <v>89090</v>
      </c>
    </row>
    <row r="5054" spans="1:6" x14ac:dyDescent="0.25">
      <c r="A5054" s="8">
        <v>50131701</v>
      </c>
      <c r="B5054" s="9" t="str">
        <f t="shared" ca="1" si="84"/>
        <v>Productos de leche o mantequilla frescos</v>
      </c>
      <c r="C5054" s="33" t="s">
        <v>55</v>
      </c>
      <c r="D5054" s="8">
        <v>500</v>
      </c>
      <c r="E5054" s="11">
        <v>384.68</v>
      </c>
      <c r="F5054" s="10">
        <f t="shared" ca="1" si="85"/>
        <v>192340</v>
      </c>
    </row>
    <row r="5055" spans="1:6" x14ac:dyDescent="0.25">
      <c r="A5055" s="8">
        <v>50121538</v>
      </c>
      <c r="B5055" s="9" t="str">
        <f t="shared" ca="1" si="84"/>
        <v>Pescado almacenado en repisa</v>
      </c>
      <c r="C5055" s="33" t="s">
        <v>55</v>
      </c>
      <c r="D5055" s="8">
        <v>500</v>
      </c>
      <c r="E5055" s="11">
        <v>148.68</v>
      </c>
      <c r="F5055" s="10">
        <f t="shared" ca="1" si="85"/>
        <v>74340</v>
      </c>
    </row>
    <row r="5056" spans="1:6" x14ac:dyDescent="0.25">
      <c r="A5056" s="8">
        <v>50101542</v>
      </c>
      <c r="B5056" s="9" t="str">
        <f t="shared" ca="1" si="84"/>
        <v>Harina vegetal</v>
      </c>
      <c r="C5056" s="33" t="s">
        <v>55</v>
      </c>
      <c r="D5056" s="8">
        <v>500</v>
      </c>
      <c r="E5056" s="11">
        <v>34.22</v>
      </c>
      <c r="F5056" s="10">
        <f t="shared" ca="1" si="85"/>
        <v>17110</v>
      </c>
    </row>
    <row r="5057" spans="1:6" x14ac:dyDescent="0.25">
      <c r="A5057" s="8">
        <v>50161511</v>
      </c>
      <c r="B5057" s="9" t="str">
        <f t="shared" ca="1" si="84"/>
        <v>Chocolate o sustituto de chocolate</v>
      </c>
      <c r="C5057" s="33" t="s">
        <v>55</v>
      </c>
      <c r="D5057" s="8">
        <v>500</v>
      </c>
      <c r="E5057" s="11">
        <v>112.1</v>
      </c>
      <c r="F5057" s="10">
        <f t="shared" ca="1" si="85"/>
        <v>56050</v>
      </c>
    </row>
    <row r="5058" spans="1:6" x14ac:dyDescent="0.25">
      <c r="A5058" s="8">
        <v>50221101</v>
      </c>
      <c r="B5058" s="9" t="str">
        <f t="shared" ca="1" si="84"/>
        <v>Grano de cereal</v>
      </c>
      <c r="C5058" s="33" t="s">
        <v>55</v>
      </c>
      <c r="D5058" s="8">
        <v>500</v>
      </c>
      <c r="E5058" s="11">
        <v>113.28</v>
      </c>
      <c r="F5058" s="10">
        <f t="shared" ca="1" si="85"/>
        <v>56640</v>
      </c>
    </row>
    <row r="5059" spans="1:6" x14ac:dyDescent="0.25">
      <c r="A5059" s="40"/>
      <c r="B5059" s="40"/>
      <c r="C5059" s="40"/>
      <c r="D5059" s="40"/>
      <c r="E5059" s="13" t="s">
        <v>87</v>
      </c>
      <c r="F5059" s="14">
        <f ca="1">SUM(Table3128188[MONTO TOTAL ESTIMADO])</f>
        <v>1261560</v>
      </c>
    </row>
    <row r="5060" spans="1:6" ht="15.75" thickBot="1" x14ac:dyDescent="0.3">
      <c r="A5060" s="42"/>
      <c r="B5060" s="42"/>
      <c r="C5060" s="42"/>
      <c r="D5060" s="42"/>
      <c r="E5060" s="42"/>
      <c r="F5060" s="42"/>
    </row>
    <row r="5061" spans="1:6" ht="23.25" thickBot="1" x14ac:dyDescent="0.3">
      <c r="A5061" s="4" t="s">
        <v>19</v>
      </c>
      <c r="B5061" s="4" t="s">
        <v>20</v>
      </c>
      <c r="C5061" s="4" t="s">
        <v>21</v>
      </c>
      <c r="D5061" s="4" t="s">
        <v>22</v>
      </c>
      <c r="E5061" s="4" t="s">
        <v>23</v>
      </c>
      <c r="F5061" s="4" t="s">
        <v>24</v>
      </c>
    </row>
    <row r="5062" spans="1:6" ht="15.75" thickBot="1" x14ac:dyDescent="0.3">
      <c r="A5062" s="32" t="s">
        <v>481</v>
      </c>
      <c r="B5062" s="32" t="s">
        <v>482</v>
      </c>
      <c r="C5062" s="32" t="s">
        <v>27</v>
      </c>
      <c r="D5062" s="6" t="s">
        <v>28</v>
      </c>
      <c r="E5062" s="6" t="s">
        <v>262</v>
      </c>
      <c r="F5062" s="6"/>
    </row>
    <row r="5063" spans="1:6" ht="15.75" thickBot="1" x14ac:dyDescent="0.3">
      <c r="A5063" s="35" t="s">
        <v>31</v>
      </c>
      <c r="B5063" s="7" t="s">
        <v>32</v>
      </c>
      <c r="C5063" s="15">
        <v>45474</v>
      </c>
      <c r="D5063" s="35" t="s">
        <v>33</v>
      </c>
      <c r="E5063" s="7" t="s">
        <v>34</v>
      </c>
      <c r="F5063" s="6"/>
    </row>
    <row r="5064" spans="1:6" ht="15.75" thickBot="1" x14ac:dyDescent="0.3">
      <c r="A5064" s="36"/>
      <c r="B5064" s="7" t="s">
        <v>36</v>
      </c>
      <c r="C5064" s="5">
        <f>IF(C5063="","",IF(AND(MONTH(C5063)&gt;=1,MONTH(C5063)&lt;=3),1,IF(AND(MONTH(C5063)&gt;=4,MONTH(C5063)&lt;=6),2,IF(AND(MONTH(C5063)&gt;=7,MONTH(C5063)&lt;=9),3,4))))</f>
        <v>3</v>
      </c>
      <c r="D5064" s="36"/>
      <c r="E5064" s="7" t="s">
        <v>37</v>
      </c>
      <c r="F5064" s="6"/>
    </row>
    <row r="5065" spans="1:6" ht="15.75" thickBot="1" x14ac:dyDescent="0.3">
      <c r="A5065" s="36"/>
      <c r="B5065" s="7" t="s">
        <v>39</v>
      </c>
      <c r="C5065" s="15">
        <v>45565</v>
      </c>
      <c r="D5065" s="36"/>
      <c r="E5065" s="7" t="s">
        <v>40</v>
      </c>
      <c r="F5065" s="6"/>
    </row>
    <row r="5066" spans="1:6" ht="15.75" thickBot="1" x14ac:dyDescent="0.3">
      <c r="A5066" s="36"/>
      <c r="B5066" s="7" t="s">
        <v>36</v>
      </c>
      <c r="C5066" s="5">
        <f>IF(C5065="","",IF(AND(MONTH(C5065)&gt;=1,MONTH(C5065)&lt;=3),1,IF(AND(MONTH(C5065)&gt;=4,MONTH(C5065)&lt;=6),2,IF(AND(MONTH(C5065)&gt;=7,MONTH(C5065)&lt;=9),3,4))))</f>
        <v>3</v>
      </c>
      <c r="D5066" s="36"/>
      <c r="E5066" s="7" t="s">
        <v>41</v>
      </c>
      <c r="F5066" s="6"/>
    </row>
    <row r="5067" spans="1:6" ht="15.75" thickBot="1" x14ac:dyDescent="0.3">
      <c r="A5067" s="40"/>
      <c r="B5067" s="40"/>
      <c r="C5067" s="40"/>
      <c r="D5067" s="40"/>
      <c r="E5067" s="40"/>
      <c r="F5067" s="40"/>
    </row>
    <row r="5068" spans="1:6" ht="15.75" thickBot="1" x14ac:dyDescent="0.3">
      <c r="A5068" s="12" t="s">
        <v>42</v>
      </c>
      <c r="B5068" s="12" t="s">
        <v>43</v>
      </c>
      <c r="C5068" s="12" t="s">
        <v>44</v>
      </c>
      <c r="D5068" s="12" t="s">
        <v>45</v>
      </c>
      <c r="E5068" s="12" t="s">
        <v>46</v>
      </c>
      <c r="F5068" s="12" t="s">
        <v>47</v>
      </c>
    </row>
    <row r="5069" spans="1:6" x14ac:dyDescent="0.25">
      <c r="A5069" s="8">
        <v>31231201</v>
      </c>
      <c r="B5069" s="9" t="str">
        <f t="shared" ref="B5069:B5076" ca="1" si="86">IFERROR(INDEX(UNSPSCDes,MATCH(INDIRECT(ADDRESS(ROW(),COLUMN()-1,4)),UNSPSCCode,0)),"")</f>
        <v>Aluminio en placa labrada</v>
      </c>
      <c r="C5069" s="8" t="s">
        <v>55</v>
      </c>
      <c r="D5069" s="8">
        <v>120</v>
      </c>
      <c r="E5069" s="11">
        <v>383.33</v>
      </c>
      <c r="F5069" s="10">
        <f t="shared" ref="F5069:F5076" ca="1" si="87">INDIRECT(ADDRESS(ROW(),COLUMN()-2,4))*INDIRECT(ADDRESS(ROW(),COLUMN()-1,4))</f>
        <v>45999.6</v>
      </c>
    </row>
    <row r="5070" spans="1:6" x14ac:dyDescent="0.25">
      <c r="A5070" s="8">
        <v>31231201</v>
      </c>
      <c r="B5070" s="9" t="str">
        <f t="shared" ca="1" si="86"/>
        <v>Aluminio en placa labrada</v>
      </c>
      <c r="C5070" s="33" t="s">
        <v>55</v>
      </c>
      <c r="D5070" s="8">
        <v>70</v>
      </c>
      <c r="E5070" s="11">
        <v>414.28</v>
      </c>
      <c r="F5070" s="10">
        <f t="shared" ca="1" si="87"/>
        <v>28999.599999999999</v>
      </c>
    </row>
    <row r="5071" spans="1:6" x14ac:dyDescent="0.25">
      <c r="A5071" s="8">
        <v>39111521</v>
      </c>
      <c r="B5071" s="9" t="str">
        <f t="shared" ca="1" si="86"/>
        <v>Plafones</v>
      </c>
      <c r="C5071" s="33" t="s">
        <v>55</v>
      </c>
      <c r="D5071" s="8">
        <v>120</v>
      </c>
      <c r="E5071" s="11">
        <v>1900</v>
      </c>
      <c r="F5071" s="10">
        <f t="shared" ca="1" si="87"/>
        <v>228000</v>
      </c>
    </row>
    <row r="5072" spans="1:6" x14ac:dyDescent="0.25">
      <c r="A5072" s="8">
        <v>31201605</v>
      </c>
      <c r="B5072" s="9" t="str">
        <f t="shared" ca="1" si="86"/>
        <v>Masillas</v>
      </c>
      <c r="C5072" s="33" t="s">
        <v>55</v>
      </c>
      <c r="D5072" s="8">
        <v>15</v>
      </c>
      <c r="E5072" s="11">
        <v>3300</v>
      </c>
      <c r="F5072" s="10">
        <f t="shared" ca="1" si="87"/>
        <v>49500</v>
      </c>
    </row>
    <row r="5073" spans="1:6" x14ac:dyDescent="0.25">
      <c r="A5073" s="8">
        <v>31201511</v>
      </c>
      <c r="B5073" s="9" t="str">
        <f t="shared" ca="1" si="86"/>
        <v>Cinta de malla metálica</v>
      </c>
      <c r="C5073" s="33" t="s">
        <v>55</v>
      </c>
      <c r="D5073" s="8">
        <v>10</v>
      </c>
      <c r="E5073" s="11">
        <v>910</v>
      </c>
      <c r="F5073" s="10">
        <f t="shared" ca="1" si="87"/>
        <v>9100</v>
      </c>
    </row>
    <row r="5074" spans="1:6" x14ac:dyDescent="0.25">
      <c r="A5074" s="8">
        <v>31161507</v>
      </c>
      <c r="B5074" s="9" t="str">
        <f t="shared" ca="1" si="86"/>
        <v>Tornillos roscadores</v>
      </c>
      <c r="C5074" s="33" t="s">
        <v>55</v>
      </c>
      <c r="D5074" s="8">
        <v>10</v>
      </c>
      <c r="E5074" s="11">
        <v>700</v>
      </c>
      <c r="F5074" s="10">
        <f t="shared" ca="1" si="87"/>
        <v>7000</v>
      </c>
    </row>
    <row r="5075" spans="1:6" x14ac:dyDescent="0.25">
      <c r="A5075" s="8">
        <v>31161507</v>
      </c>
      <c r="B5075" s="9" t="str">
        <f t="shared" ca="1" si="86"/>
        <v>Tornillos roscadores</v>
      </c>
      <c r="C5075" s="33" t="s">
        <v>55</v>
      </c>
      <c r="D5075" s="8">
        <v>30</v>
      </c>
      <c r="E5075" s="11">
        <v>600</v>
      </c>
      <c r="F5075" s="10">
        <f t="shared" ca="1" si="87"/>
        <v>18000</v>
      </c>
    </row>
    <row r="5076" spans="1:6" x14ac:dyDescent="0.25">
      <c r="A5076" s="8">
        <v>27111909</v>
      </c>
      <c r="B5076" s="9" t="str">
        <f t="shared" ca="1" si="86"/>
        <v>Espátulas</v>
      </c>
      <c r="C5076" s="33" t="s">
        <v>55</v>
      </c>
      <c r="D5076" s="8">
        <v>2</v>
      </c>
      <c r="E5076" s="11">
        <v>650</v>
      </c>
      <c r="F5076" s="10">
        <f t="shared" ca="1" si="87"/>
        <v>1300</v>
      </c>
    </row>
    <row r="5077" spans="1:6" x14ac:dyDescent="0.25">
      <c r="A5077" s="40"/>
      <c r="B5077" s="40"/>
      <c r="C5077" s="40"/>
      <c r="D5077" s="40"/>
      <c r="E5077" s="13" t="s">
        <v>87</v>
      </c>
      <c r="F5077" s="14">
        <f ca="1">SUM(Table3129189[MONTO TOTAL ESTIMADO])</f>
        <v>387899.2</v>
      </c>
    </row>
    <row r="5078" spans="1:6" ht="15.75" thickBot="1" x14ac:dyDescent="0.3">
      <c r="A5078" s="42"/>
      <c r="B5078" s="42"/>
      <c r="C5078" s="42"/>
      <c r="D5078" s="42"/>
      <c r="E5078" s="42"/>
      <c r="F5078" s="42"/>
    </row>
    <row r="5079" spans="1:6" ht="23.25" thickBot="1" x14ac:dyDescent="0.3">
      <c r="A5079" s="4" t="s">
        <v>19</v>
      </c>
      <c r="B5079" s="4" t="s">
        <v>20</v>
      </c>
      <c r="C5079" s="4" t="s">
        <v>21</v>
      </c>
      <c r="D5079" s="4" t="s">
        <v>22</v>
      </c>
      <c r="E5079" s="4" t="s">
        <v>23</v>
      </c>
      <c r="F5079" s="4" t="s">
        <v>24</v>
      </c>
    </row>
    <row r="5080" spans="1:6" ht="15.75" thickBot="1" x14ac:dyDescent="0.3">
      <c r="A5080" s="32" t="s">
        <v>462</v>
      </c>
      <c r="B5080" s="32" t="s">
        <v>463</v>
      </c>
      <c r="C5080" s="32" t="s">
        <v>27</v>
      </c>
      <c r="D5080" s="6" t="s">
        <v>28</v>
      </c>
      <c r="E5080" s="6" t="s">
        <v>262</v>
      </c>
      <c r="F5080" s="6"/>
    </row>
    <row r="5081" spans="1:6" ht="15.75" thickBot="1" x14ac:dyDescent="0.3">
      <c r="A5081" s="35" t="s">
        <v>31</v>
      </c>
      <c r="B5081" s="7" t="s">
        <v>32</v>
      </c>
      <c r="C5081" s="15">
        <v>45474</v>
      </c>
      <c r="D5081" s="35" t="s">
        <v>33</v>
      </c>
      <c r="E5081" s="7" t="s">
        <v>34</v>
      </c>
      <c r="F5081" s="6"/>
    </row>
    <row r="5082" spans="1:6" ht="15.75" thickBot="1" x14ac:dyDescent="0.3">
      <c r="A5082" s="36"/>
      <c r="B5082" s="7" t="s">
        <v>36</v>
      </c>
      <c r="C5082" s="5">
        <f>IF(C5081="","",IF(AND(MONTH(C5081)&gt;=1,MONTH(C5081)&lt;=3),1,IF(AND(MONTH(C5081)&gt;=4,MONTH(C5081)&lt;=6),2,IF(AND(MONTH(C5081)&gt;=7,MONTH(C5081)&lt;=9),3,4))))</f>
        <v>3</v>
      </c>
      <c r="D5082" s="36"/>
      <c r="E5082" s="7" t="s">
        <v>37</v>
      </c>
      <c r="F5082" s="6"/>
    </row>
    <row r="5083" spans="1:6" ht="15.75" thickBot="1" x14ac:dyDescent="0.3">
      <c r="A5083" s="36"/>
      <c r="B5083" s="7" t="s">
        <v>39</v>
      </c>
      <c r="C5083" s="15">
        <v>45565</v>
      </c>
      <c r="D5083" s="36"/>
      <c r="E5083" s="7" t="s">
        <v>40</v>
      </c>
      <c r="F5083" s="6"/>
    </row>
    <row r="5084" spans="1:6" ht="15.75" thickBot="1" x14ac:dyDescent="0.3">
      <c r="A5084" s="36"/>
      <c r="B5084" s="7" t="s">
        <v>36</v>
      </c>
      <c r="C5084" s="5">
        <f>IF(C5083="","",IF(AND(MONTH(C5083)&gt;=1,MONTH(C5083)&lt;=3),1,IF(AND(MONTH(C5083)&gt;=4,MONTH(C5083)&lt;=6),2,IF(AND(MONTH(C5083)&gt;=7,MONTH(C5083)&lt;=9),3,4))))</f>
        <v>3</v>
      </c>
      <c r="D5084" s="36"/>
      <c r="E5084" s="7" t="s">
        <v>41</v>
      </c>
      <c r="F5084" s="6"/>
    </row>
    <row r="5085" spans="1:6" ht="15.75" thickBot="1" x14ac:dyDescent="0.3">
      <c r="A5085" s="40"/>
      <c r="B5085" s="40"/>
      <c r="C5085" s="40"/>
      <c r="D5085" s="40"/>
      <c r="E5085" s="40"/>
      <c r="F5085" s="40"/>
    </row>
    <row r="5086" spans="1:6" ht="15.75" thickBot="1" x14ac:dyDescent="0.3">
      <c r="A5086" s="12" t="s">
        <v>42</v>
      </c>
      <c r="B5086" s="12" t="s">
        <v>43</v>
      </c>
      <c r="C5086" s="12" t="s">
        <v>44</v>
      </c>
      <c r="D5086" s="12" t="s">
        <v>45</v>
      </c>
      <c r="E5086" s="12" t="s">
        <v>46</v>
      </c>
      <c r="F5086" s="12" t="s">
        <v>47</v>
      </c>
    </row>
    <row r="5087" spans="1:6" x14ac:dyDescent="0.25">
      <c r="A5087" s="8">
        <v>50161509</v>
      </c>
      <c r="B5087" s="9" t="str">
        <f t="shared" ref="B5087:B5100" ca="1" si="88">IFERROR(INDEX(UNSPSCDes,MATCH(INDIRECT(ADDRESS(ROW(),COLUMN()-1,4)),UNSPSCCode,0)),"")</f>
        <v>Azucares naturales o productos endulzantes</v>
      </c>
      <c r="C5087" s="8" t="s">
        <v>74</v>
      </c>
      <c r="D5087" s="8">
        <v>500</v>
      </c>
      <c r="E5087" s="11">
        <v>83.78</v>
      </c>
      <c r="F5087" s="10">
        <f t="shared" ref="F5087:F5100" ca="1" si="89">INDIRECT(ADDRESS(ROW(),COLUMN()-2,4))*INDIRECT(ADDRESS(ROW(),COLUMN()-1,4))</f>
        <v>41890</v>
      </c>
    </row>
    <row r="5088" spans="1:6" x14ac:dyDescent="0.25">
      <c r="A5088" s="8">
        <v>50221101</v>
      </c>
      <c r="B5088" s="9" t="str">
        <f t="shared" ca="1" si="88"/>
        <v>Grano de cereal</v>
      </c>
      <c r="C5088" s="8" t="s">
        <v>74</v>
      </c>
      <c r="D5088" s="8">
        <v>500</v>
      </c>
      <c r="E5088" s="11">
        <v>231.38</v>
      </c>
      <c r="F5088" s="10">
        <f t="shared" ca="1" si="89"/>
        <v>115690</v>
      </c>
    </row>
    <row r="5089" spans="1:6" x14ac:dyDescent="0.25">
      <c r="A5089" s="8">
        <v>50151513</v>
      </c>
      <c r="B5089" s="9" t="str">
        <f t="shared" ca="1" si="88"/>
        <v>Aceites vegetales o  de planta comestibles</v>
      </c>
      <c r="C5089" s="8" t="s">
        <v>55</v>
      </c>
      <c r="D5089" s="8">
        <v>500</v>
      </c>
      <c r="E5089" s="11">
        <v>132.16</v>
      </c>
      <c r="F5089" s="10">
        <f t="shared" ca="1" si="89"/>
        <v>66080</v>
      </c>
    </row>
    <row r="5090" spans="1:6" x14ac:dyDescent="0.25">
      <c r="A5090" s="8">
        <v>50192111</v>
      </c>
      <c r="B5090" s="9" t="str">
        <f t="shared" ca="1" si="88"/>
        <v>Carne seca o procesada</v>
      </c>
      <c r="C5090" s="33" t="s">
        <v>55</v>
      </c>
      <c r="D5090" s="8">
        <v>500</v>
      </c>
      <c r="E5090" s="11">
        <v>619.5</v>
      </c>
      <c r="F5090" s="10">
        <f t="shared" ca="1" si="89"/>
        <v>309750</v>
      </c>
    </row>
    <row r="5091" spans="1:6" x14ac:dyDescent="0.25">
      <c r="A5091" s="8">
        <v>50201706</v>
      </c>
      <c r="B5091" s="9" t="str">
        <f t="shared" ca="1" si="88"/>
        <v>Café</v>
      </c>
      <c r="C5091" s="33" t="s">
        <v>74</v>
      </c>
      <c r="D5091" s="8">
        <v>500</v>
      </c>
      <c r="E5091" s="11">
        <v>188.8</v>
      </c>
      <c r="F5091" s="10">
        <f t="shared" ca="1" si="89"/>
        <v>94400</v>
      </c>
    </row>
    <row r="5092" spans="1:6" x14ac:dyDescent="0.25">
      <c r="A5092" s="8">
        <v>50171831</v>
      </c>
      <c r="B5092" s="9" t="str">
        <f t="shared" ca="1" si="88"/>
        <v>Salsas para cocinar</v>
      </c>
      <c r="C5092" s="8" t="s">
        <v>55</v>
      </c>
      <c r="D5092" s="8">
        <v>500</v>
      </c>
      <c r="E5092" s="11">
        <v>105.2</v>
      </c>
      <c r="F5092" s="10">
        <f t="shared" ca="1" si="89"/>
        <v>52600</v>
      </c>
    </row>
    <row r="5093" spans="1:6" x14ac:dyDescent="0.25">
      <c r="A5093" s="8">
        <v>50121538</v>
      </c>
      <c r="B5093" s="9" t="str">
        <f t="shared" ca="1" si="88"/>
        <v>Pescado almacenado en repisa</v>
      </c>
      <c r="C5093" s="8" t="s">
        <v>55</v>
      </c>
      <c r="D5093" s="8">
        <v>500</v>
      </c>
      <c r="E5093" s="11">
        <v>142.78</v>
      </c>
      <c r="F5093" s="10">
        <f t="shared" ca="1" si="89"/>
        <v>71390</v>
      </c>
    </row>
    <row r="5094" spans="1:6" x14ac:dyDescent="0.25">
      <c r="A5094" s="8">
        <v>50192902</v>
      </c>
      <c r="B5094" s="9" t="str">
        <f t="shared" ca="1" si="88"/>
        <v>Pasta o fideos de repisa</v>
      </c>
      <c r="C5094" s="8" t="s">
        <v>55</v>
      </c>
      <c r="D5094" s="8">
        <v>500</v>
      </c>
      <c r="E5094" s="11">
        <v>48.38</v>
      </c>
      <c r="F5094" s="10">
        <f t="shared" ca="1" si="89"/>
        <v>24190</v>
      </c>
    </row>
    <row r="5095" spans="1:6" x14ac:dyDescent="0.25">
      <c r="A5095" s="8">
        <v>50101543</v>
      </c>
      <c r="B5095" s="9" t="str">
        <f t="shared" ca="1" si="88"/>
        <v>Judías secas</v>
      </c>
      <c r="C5095" s="8" t="s">
        <v>55</v>
      </c>
      <c r="D5095" s="8">
        <v>500</v>
      </c>
      <c r="E5095" s="11">
        <v>178.18</v>
      </c>
      <c r="F5095" s="10">
        <f t="shared" ca="1" si="89"/>
        <v>89090</v>
      </c>
    </row>
    <row r="5096" spans="1:6" x14ac:dyDescent="0.25">
      <c r="A5096" s="8">
        <v>50131701</v>
      </c>
      <c r="B5096" s="9" t="str">
        <f t="shared" ca="1" si="88"/>
        <v>Productos de leche o mantequilla frescos</v>
      </c>
      <c r="C5096" s="8" t="s">
        <v>55</v>
      </c>
      <c r="D5096" s="8">
        <v>500</v>
      </c>
      <c r="E5096" s="11">
        <v>384.68</v>
      </c>
      <c r="F5096" s="10">
        <f t="shared" ca="1" si="89"/>
        <v>192340</v>
      </c>
    </row>
    <row r="5097" spans="1:6" x14ac:dyDescent="0.25">
      <c r="A5097" s="8">
        <v>50121538</v>
      </c>
      <c r="B5097" s="9" t="str">
        <f t="shared" ca="1" si="88"/>
        <v>Pescado almacenado en repisa</v>
      </c>
      <c r="C5097" s="8" t="s">
        <v>55</v>
      </c>
      <c r="D5097" s="8">
        <v>500</v>
      </c>
      <c r="E5097" s="11">
        <v>148.68</v>
      </c>
      <c r="F5097" s="10">
        <f t="shared" ca="1" si="89"/>
        <v>74340</v>
      </c>
    </row>
    <row r="5098" spans="1:6" x14ac:dyDescent="0.25">
      <c r="A5098" s="8">
        <v>50101542</v>
      </c>
      <c r="B5098" s="9" t="str">
        <f t="shared" ca="1" si="88"/>
        <v>Harina vegetal</v>
      </c>
      <c r="C5098" s="8" t="s">
        <v>55</v>
      </c>
      <c r="D5098" s="8">
        <v>500</v>
      </c>
      <c r="E5098" s="11">
        <v>34.22</v>
      </c>
      <c r="F5098" s="10">
        <f t="shared" ca="1" si="89"/>
        <v>17110</v>
      </c>
    </row>
    <row r="5099" spans="1:6" x14ac:dyDescent="0.25">
      <c r="A5099" s="8">
        <v>50161511</v>
      </c>
      <c r="B5099" s="9" t="str">
        <f t="shared" ca="1" si="88"/>
        <v>Chocolate o sustituto de chocolate</v>
      </c>
      <c r="C5099" s="8" t="s">
        <v>55</v>
      </c>
      <c r="D5099" s="8">
        <v>500</v>
      </c>
      <c r="E5099" s="11">
        <v>112.1</v>
      </c>
      <c r="F5099" s="10">
        <f t="shared" ca="1" si="89"/>
        <v>56050</v>
      </c>
    </row>
    <row r="5100" spans="1:6" x14ac:dyDescent="0.25">
      <c r="A5100" s="8">
        <v>50221101</v>
      </c>
      <c r="B5100" s="9" t="str">
        <f t="shared" ca="1" si="88"/>
        <v>Grano de cereal</v>
      </c>
      <c r="C5100" s="8" t="s">
        <v>55</v>
      </c>
      <c r="D5100" s="8">
        <v>500</v>
      </c>
      <c r="E5100" s="11">
        <v>113.28</v>
      </c>
      <c r="F5100" s="10">
        <f t="shared" ca="1" si="89"/>
        <v>56640</v>
      </c>
    </row>
    <row r="5101" spans="1:6" x14ac:dyDescent="0.25">
      <c r="A5101" s="40"/>
      <c r="B5101" s="40"/>
      <c r="C5101" s="40"/>
      <c r="D5101" s="40"/>
      <c r="E5101" s="13" t="s">
        <v>87</v>
      </c>
      <c r="F5101" s="14">
        <f ca="1">SUM(Table3130190[MONTO TOTAL ESTIMADO])</f>
        <v>1261560</v>
      </c>
    </row>
    <row r="5102" spans="1:6" ht="15.75" thickBot="1" x14ac:dyDescent="0.3">
      <c r="A5102" s="42"/>
      <c r="B5102" s="42"/>
      <c r="C5102" s="42"/>
      <c r="D5102" s="42"/>
      <c r="E5102" s="42"/>
      <c r="F5102" s="42"/>
    </row>
    <row r="5103" spans="1:6" ht="23.25" thickBot="1" x14ac:dyDescent="0.3">
      <c r="A5103" s="4" t="s">
        <v>19</v>
      </c>
      <c r="B5103" s="4" t="s">
        <v>20</v>
      </c>
      <c r="C5103" s="4" t="s">
        <v>21</v>
      </c>
      <c r="D5103" s="4" t="s">
        <v>22</v>
      </c>
      <c r="E5103" s="4" t="s">
        <v>23</v>
      </c>
      <c r="F5103" s="4" t="s">
        <v>24</v>
      </c>
    </row>
    <row r="5104" spans="1:6" ht="15.75" thickBot="1" x14ac:dyDescent="0.3">
      <c r="A5104" s="32" t="s">
        <v>489</v>
      </c>
      <c r="B5104" s="32" t="s">
        <v>490</v>
      </c>
      <c r="C5104" s="32" t="s">
        <v>27</v>
      </c>
      <c r="D5104" s="6" t="s">
        <v>28</v>
      </c>
      <c r="E5104" s="6" t="s">
        <v>262</v>
      </c>
      <c r="F5104" s="6"/>
    </row>
    <row r="5105" spans="1:6" ht="15.75" thickBot="1" x14ac:dyDescent="0.3">
      <c r="A5105" s="35" t="s">
        <v>31</v>
      </c>
      <c r="B5105" s="7" t="s">
        <v>32</v>
      </c>
      <c r="C5105" s="15">
        <v>45474</v>
      </c>
      <c r="D5105" s="35" t="s">
        <v>33</v>
      </c>
      <c r="E5105" s="7" t="s">
        <v>34</v>
      </c>
      <c r="F5105" s="6"/>
    </row>
    <row r="5106" spans="1:6" ht="15.75" thickBot="1" x14ac:dyDescent="0.3">
      <c r="A5106" s="36"/>
      <c r="B5106" s="7" t="s">
        <v>36</v>
      </c>
      <c r="C5106" s="5">
        <f>IF(C5105="","",IF(AND(MONTH(C5105)&gt;=1,MONTH(C5105)&lt;=3),1,IF(AND(MONTH(C5105)&gt;=4,MONTH(C5105)&lt;=6),2,IF(AND(MONTH(C5105)&gt;=7,MONTH(C5105)&lt;=9),3,4))))</f>
        <v>3</v>
      </c>
      <c r="D5106" s="36"/>
      <c r="E5106" s="7" t="s">
        <v>37</v>
      </c>
      <c r="F5106" s="6"/>
    </row>
    <row r="5107" spans="1:6" ht="15.75" thickBot="1" x14ac:dyDescent="0.3">
      <c r="A5107" s="36"/>
      <c r="B5107" s="7" t="s">
        <v>39</v>
      </c>
      <c r="C5107" s="15">
        <v>45565</v>
      </c>
      <c r="D5107" s="36"/>
      <c r="E5107" s="7" t="s">
        <v>40</v>
      </c>
      <c r="F5107" s="6"/>
    </row>
    <row r="5108" spans="1:6" ht="15.75" thickBot="1" x14ac:dyDescent="0.3">
      <c r="A5108" s="36"/>
      <c r="B5108" s="7" t="s">
        <v>36</v>
      </c>
      <c r="C5108" s="5">
        <f>IF(C5107="","",IF(AND(MONTH(C5107)&gt;=1,MONTH(C5107)&lt;=3),1,IF(AND(MONTH(C5107)&gt;=4,MONTH(C5107)&lt;=6),2,IF(AND(MONTH(C5107)&gt;=7,MONTH(C5107)&lt;=9),3,4))))</f>
        <v>3</v>
      </c>
      <c r="D5108" s="36"/>
      <c r="E5108" s="7" t="s">
        <v>41</v>
      </c>
      <c r="F5108" s="6"/>
    </row>
    <row r="5109" spans="1:6" ht="15.75" thickBot="1" x14ac:dyDescent="0.3">
      <c r="A5109" s="40"/>
      <c r="B5109" s="40"/>
      <c r="C5109" s="40"/>
      <c r="D5109" s="40"/>
      <c r="E5109" s="40"/>
      <c r="F5109" s="40"/>
    </row>
    <row r="5110" spans="1:6" ht="15.75" thickBot="1" x14ac:dyDescent="0.3">
      <c r="A5110" s="12" t="s">
        <v>42</v>
      </c>
      <c r="B5110" s="12" t="s">
        <v>43</v>
      </c>
      <c r="C5110" s="12" t="s">
        <v>44</v>
      </c>
      <c r="D5110" s="12" t="s">
        <v>45</v>
      </c>
      <c r="E5110" s="12" t="s">
        <v>46</v>
      </c>
      <c r="F5110" s="12" t="s">
        <v>47</v>
      </c>
    </row>
    <row r="5111" spans="1:6" x14ac:dyDescent="0.25">
      <c r="A5111" s="8">
        <v>14111514</v>
      </c>
      <c r="B5111" s="9" t="str">
        <f t="shared" ref="B5111:B5121" ca="1" si="90">IFERROR(INDEX(UNSPSCDes,MATCH(INDIRECT(ADDRESS(ROW(),COLUMN()-1,4)),UNSPSCCode,0)),"")</f>
        <v>Blocs o cuadernos de papel</v>
      </c>
      <c r="C5111" s="8" t="s">
        <v>55</v>
      </c>
      <c r="D5111" s="8">
        <v>2400</v>
      </c>
      <c r="E5111" s="11">
        <v>92.04</v>
      </c>
      <c r="F5111" s="10">
        <f t="shared" ref="F5111:F5121" ca="1" si="91">INDIRECT(ADDRESS(ROW(),COLUMN()-2,4))*INDIRECT(ADDRESS(ROW(),COLUMN()-1,4))</f>
        <v>220896.00000000003</v>
      </c>
    </row>
    <row r="5112" spans="1:6" x14ac:dyDescent="0.25">
      <c r="A5112" s="8">
        <v>44121706</v>
      </c>
      <c r="B5112" s="9" t="str">
        <f t="shared" ca="1" si="90"/>
        <v>Lápices de madera</v>
      </c>
      <c r="C5112" s="8" t="s">
        <v>49</v>
      </c>
      <c r="D5112" s="8">
        <v>100</v>
      </c>
      <c r="E5112" s="11">
        <v>88.6</v>
      </c>
      <c r="F5112" s="10">
        <f t="shared" ca="1" si="91"/>
        <v>8860</v>
      </c>
    </row>
    <row r="5113" spans="1:6" x14ac:dyDescent="0.25">
      <c r="A5113" s="8">
        <v>44121701</v>
      </c>
      <c r="B5113" s="9" t="str">
        <f t="shared" ca="1" si="90"/>
        <v>Bolígrafos</v>
      </c>
      <c r="C5113" s="33" t="s">
        <v>49</v>
      </c>
      <c r="D5113" s="8">
        <v>100</v>
      </c>
      <c r="E5113" s="11">
        <v>109.84</v>
      </c>
      <c r="F5113" s="10">
        <f t="shared" ca="1" si="91"/>
        <v>10984</v>
      </c>
    </row>
    <row r="5114" spans="1:6" x14ac:dyDescent="0.25">
      <c r="A5114" s="8">
        <v>53121603</v>
      </c>
      <c r="B5114" s="9" t="str">
        <f t="shared" ca="1" si="90"/>
        <v>Morrales</v>
      </c>
      <c r="C5114" s="33" t="s">
        <v>55</v>
      </c>
      <c r="D5114" s="8">
        <v>600</v>
      </c>
      <c r="E5114" s="11">
        <v>973.5</v>
      </c>
      <c r="F5114" s="10">
        <f t="shared" ca="1" si="91"/>
        <v>584100</v>
      </c>
    </row>
    <row r="5115" spans="1:6" x14ac:dyDescent="0.25">
      <c r="A5115" s="8">
        <v>44121804</v>
      </c>
      <c r="B5115" s="9" t="str">
        <f t="shared" ca="1" si="90"/>
        <v>Borradores</v>
      </c>
      <c r="C5115" s="33" t="s">
        <v>55</v>
      </c>
      <c r="D5115" s="8">
        <v>600</v>
      </c>
      <c r="E5115" s="11">
        <v>51.92</v>
      </c>
      <c r="F5115" s="10">
        <f t="shared" ca="1" si="91"/>
        <v>31152</v>
      </c>
    </row>
    <row r="5116" spans="1:6" x14ac:dyDescent="0.25">
      <c r="A5116" s="8">
        <v>44121619</v>
      </c>
      <c r="B5116" s="9" t="str">
        <f t="shared" ca="1" si="90"/>
        <v>Tajalápices manuales</v>
      </c>
      <c r="C5116" s="33" t="s">
        <v>55</v>
      </c>
      <c r="D5116" s="8">
        <v>600</v>
      </c>
      <c r="E5116" s="11">
        <v>23.6</v>
      </c>
      <c r="F5116" s="10">
        <f t="shared" ca="1" si="91"/>
        <v>14160</v>
      </c>
    </row>
    <row r="5117" spans="1:6" x14ac:dyDescent="0.25">
      <c r="A5117" s="8">
        <v>44111509</v>
      </c>
      <c r="B5117" s="9" t="str">
        <f t="shared" ca="1" si="90"/>
        <v>Sujetadores de esferos o lápices</v>
      </c>
      <c r="C5117" s="33" t="s">
        <v>55</v>
      </c>
      <c r="D5117" s="8">
        <v>600</v>
      </c>
      <c r="E5117" s="11">
        <v>135.69999999999999</v>
      </c>
      <c r="F5117" s="10">
        <f t="shared" ca="1" si="91"/>
        <v>81420</v>
      </c>
    </row>
    <row r="5118" spans="1:6" x14ac:dyDescent="0.25">
      <c r="A5118" s="8">
        <v>52152002</v>
      </c>
      <c r="B5118" s="9" t="str">
        <f t="shared" ca="1" si="90"/>
        <v>Contenedores para almacenar alimentos para uso doméstico</v>
      </c>
      <c r="C5118" s="33" t="s">
        <v>55</v>
      </c>
      <c r="D5118" s="8">
        <v>600</v>
      </c>
      <c r="E5118" s="11">
        <v>722.75</v>
      </c>
      <c r="F5118" s="10">
        <f t="shared" ca="1" si="91"/>
        <v>433650</v>
      </c>
    </row>
    <row r="5119" spans="1:6" x14ac:dyDescent="0.25">
      <c r="A5119" s="8">
        <v>44111803</v>
      </c>
      <c r="B5119" s="9" t="str">
        <f t="shared" ca="1" si="90"/>
        <v>Compases</v>
      </c>
      <c r="C5119" s="33" t="s">
        <v>55</v>
      </c>
      <c r="D5119" s="8">
        <v>600</v>
      </c>
      <c r="E5119" s="11">
        <v>45.78</v>
      </c>
      <c r="F5119" s="10">
        <f t="shared" ca="1" si="91"/>
        <v>27468</v>
      </c>
    </row>
    <row r="5120" spans="1:6" x14ac:dyDescent="0.25">
      <c r="A5120" s="8">
        <v>44111812</v>
      </c>
      <c r="B5120" s="9" t="str">
        <f t="shared" ca="1" si="90"/>
        <v>Kits o sets de dibujo</v>
      </c>
      <c r="C5120" s="33" t="s">
        <v>55</v>
      </c>
      <c r="D5120" s="8">
        <v>600</v>
      </c>
      <c r="E5120" s="11">
        <v>37.909999999999997</v>
      </c>
      <c r="F5120" s="10">
        <f t="shared" ca="1" si="91"/>
        <v>22745.999999999996</v>
      </c>
    </row>
    <row r="5121" spans="1:6" x14ac:dyDescent="0.25">
      <c r="A5121" s="8">
        <v>44121707</v>
      </c>
      <c r="B5121" s="9" t="str">
        <f t="shared" ca="1" si="90"/>
        <v>Lápices de colores</v>
      </c>
      <c r="C5121" s="33" t="s">
        <v>49</v>
      </c>
      <c r="D5121" s="8">
        <v>600</v>
      </c>
      <c r="E5121" s="11">
        <v>107.43</v>
      </c>
      <c r="F5121" s="10">
        <f t="shared" ca="1" si="91"/>
        <v>64458.000000000007</v>
      </c>
    </row>
    <row r="5122" spans="1:6" x14ac:dyDescent="0.25">
      <c r="A5122" s="40"/>
      <c r="B5122" s="40"/>
      <c r="C5122" s="40"/>
      <c r="D5122" s="40"/>
      <c r="E5122" s="13" t="s">
        <v>87</v>
      </c>
      <c r="F5122" s="14">
        <f ca="1">SUM(Table3131191[MONTO TOTAL ESTIMADO])</f>
        <v>1499894</v>
      </c>
    </row>
    <row r="5123" spans="1:6" ht="15.75" thickBot="1" x14ac:dyDescent="0.3">
      <c r="A5123" s="42"/>
      <c r="B5123" s="42"/>
      <c r="C5123" s="42"/>
      <c r="D5123" s="42"/>
      <c r="E5123" s="42"/>
      <c r="F5123" s="42"/>
    </row>
    <row r="5124" spans="1:6" ht="23.25" thickBot="1" x14ac:dyDescent="0.3">
      <c r="A5124" s="4" t="s">
        <v>19</v>
      </c>
      <c r="B5124" s="4" t="s">
        <v>20</v>
      </c>
      <c r="C5124" s="4" t="s">
        <v>21</v>
      </c>
      <c r="D5124" s="4" t="s">
        <v>22</v>
      </c>
      <c r="E5124" s="4" t="s">
        <v>23</v>
      </c>
      <c r="F5124" s="4" t="s">
        <v>24</v>
      </c>
    </row>
    <row r="5125" spans="1:6" ht="15.75" thickBot="1" x14ac:dyDescent="0.3">
      <c r="A5125" s="32" t="s">
        <v>496</v>
      </c>
      <c r="B5125" s="32" t="s">
        <v>497</v>
      </c>
      <c r="C5125" s="32" t="s">
        <v>129</v>
      </c>
      <c r="D5125" s="6" t="s">
        <v>28</v>
      </c>
      <c r="E5125" s="6" t="s">
        <v>262</v>
      </c>
      <c r="F5125" s="6"/>
    </row>
    <row r="5126" spans="1:6" ht="15.75" thickBot="1" x14ac:dyDescent="0.3">
      <c r="A5126" s="35" t="s">
        <v>31</v>
      </c>
      <c r="B5126" s="7" t="s">
        <v>32</v>
      </c>
      <c r="C5126" s="15">
        <v>45474</v>
      </c>
      <c r="D5126" s="35" t="s">
        <v>33</v>
      </c>
      <c r="E5126" s="7" t="s">
        <v>34</v>
      </c>
      <c r="F5126" s="6"/>
    </row>
    <row r="5127" spans="1:6" ht="15.75" thickBot="1" x14ac:dyDescent="0.3">
      <c r="A5127" s="36"/>
      <c r="B5127" s="7" t="s">
        <v>36</v>
      </c>
      <c r="C5127" s="5">
        <f>IF(C5126="","",IF(AND(MONTH(C5126)&gt;=1,MONTH(C5126)&lt;=3),1,IF(AND(MONTH(C5126)&gt;=4,MONTH(C5126)&lt;=6),2,IF(AND(MONTH(C5126)&gt;=7,MONTH(C5126)&lt;=9),3,4))))</f>
        <v>3</v>
      </c>
      <c r="D5127" s="36"/>
      <c r="E5127" s="7" t="s">
        <v>37</v>
      </c>
      <c r="F5127" s="6"/>
    </row>
    <row r="5128" spans="1:6" ht="15.75" thickBot="1" x14ac:dyDescent="0.3">
      <c r="A5128" s="36"/>
      <c r="B5128" s="7" t="s">
        <v>39</v>
      </c>
      <c r="C5128" s="15">
        <v>45565</v>
      </c>
      <c r="D5128" s="36"/>
      <c r="E5128" s="7" t="s">
        <v>40</v>
      </c>
      <c r="F5128" s="6"/>
    </row>
    <row r="5129" spans="1:6" ht="15.75" thickBot="1" x14ac:dyDescent="0.3">
      <c r="A5129" s="36"/>
      <c r="B5129" s="7" t="s">
        <v>36</v>
      </c>
      <c r="C5129" s="5">
        <f>IF(C5128="","",IF(AND(MONTH(C5128)&gt;=1,MONTH(C5128)&lt;=3),1,IF(AND(MONTH(C5128)&gt;=4,MONTH(C5128)&lt;=6),2,IF(AND(MONTH(C5128)&gt;=7,MONTH(C5128)&lt;=9),3,4))))</f>
        <v>3</v>
      </c>
      <c r="D5129" s="36"/>
      <c r="E5129" s="7" t="s">
        <v>41</v>
      </c>
      <c r="F5129" s="6"/>
    </row>
    <row r="5130" spans="1:6" ht="15.75" thickBot="1" x14ac:dyDescent="0.3">
      <c r="A5130" s="40"/>
      <c r="B5130" s="40"/>
      <c r="C5130" s="40"/>
      <c r="D5130" s="40"/>
      <c r="E5130" s="40"/>
      <c r="F5130" s="40"/>
    </row>
    <row r="5131" spans="1:6" ht="15.75" thickBot="1" x14ac:dyDescent="0.3">
      <c r="A5131" s="12" t="s">
        <v>42</v>
      </c>
      <c r="B5131" s="12" t="s">
        <v>43</v>
      </c>
      <c r="C5131" s="12" t="s">
        <v>44</v>
      </c>
      <c r="D5131" s="12" t="s">
        <v>45</v>
      </c>
      <c r="E5131" s="12" t="s">
        <v>46</v>
      </c>
      <c r="F5131" s="12" t="s">
        <v>47</v>
      </c>
    </row>
    <row r="5132" spans="1:6" x14ac:dyDescent="0.25">
      <c r="A5132" s="8">
        <v>73151606</v>
      </c>
      <c r="B5132" s="9" t="str">
        <f ca="1">IFERROR(INDEX(UNSPSCDes,MATCH(INDIRECT(ADDRESS(ROW(),COLUMN()-1,4)),UNSPSCCode,0)),"")</f>
        <v>Servicios de empacado a mano</v>
      </c>
      <c r="C5132" s="33" t="s">
        <v>55</v>
      </c>
      <c r="D5132" s="8">
        <v>1</v>
      </c>
      <c r="E5132" s="11">
        <v>1600000</v>
      </c>
      <c r="F5132" s="10">
        <f ca="1">INDIRECT(ADDRESS(ROW(),COLUMN()-2,4))*INDIRECT(ADDRESS(ROW(),COLUMN()-1,4))</f>
        <v>1600000</v>
      </c>
    </row>
    <row r="5133" spans="1:6" x14ac:dyDescent="0.25">
      <c r="A5133" s="40"/>
      <c r="B5133" s="40"/>
      <c r="C5133" s="40"/>
      <c r="D5133" s="40"/>
      <c r="E5133" s="13" t="s">
        <v>87</v>
      </c>
      <c r="F5133" s="14">
        <f ca="1">SUM(Table3132192[MONTO TOTAL ESTIMADO])</f>
        <v>1600000</v>
      </c>
    </row>
    <row r="5134" spans="1:6" ht="15.75" thickBot="1" x14ac:dyDescent="0.3">
      <c r="A5134" s="42"/>
      <c r="B5134" s="42"/>
      <c r="C5134" s="42"/>
      <c r="D5134" s="42"/>
      <c r="E5134" s="42"/>
      <c r="F5134" s="42"/>
    </row>
    <row r="5135" spans="1:6" ht="23.25" thickBot="1" x14ac:dyDescent="0.3">
      <c r="A5135" s="4" t="s">
        <v>19</v>
      </c>
      <c r="B5135" s="4" t="s">
        <v>20</v>
      </c>
      <c r="C5135" s="4" t="s">
        <v>21</v>
      </c>
      <c r="D5135" s="4" t="s">
        <v>22</v>
      </c>
      <c r="E5135" s="4" t="s">
        <v>23</v>
      </c>
      <c r="F5135" s="4" t="s">
        <v>24</v>
      </c>
    </row>
    <row r="5136" spans="1:6" ht="15.75" thickBot="1" x14ac:dyDescent="0.3">
      <c r="A5136" s="32" t="s">
        <v>489</v>
      </c>
      <c r="B5136" s="32" t="s">
        <v>490</v>
      </c>
      <c r="C5136" s="32" t="s">
        <v>27</v>
      </c>
      <c r="D5136" s="6" t="s">
        <v>28</v>
      </c>
      <c r="E5136" s="6" t="s">
        <v>262</v>
      </c>
      <c r="F5136" s="6"/>
    </row>
    <row r="5137" spans="1:6" ht="15.75" thickBot="1" x14ac:dyDescent="0.3">
      <c r="A5137" s="35" t="s">
        <v>31</v>
      </c>
      <c r="B5137" s="7" t="s">
        <v>32</v>
      </c>
      <c r="C5137" s="15">
        <v>45474</v>
      </c>
      <c r="D5137" s="35" t="s">
        <v>33</v>
      </c>
      <c r="E5137" s="7" t="s">
        <v>34</v>
      </c>
      <c r="F5137" s="6"/>
    </row>
    <row r="5138" spans="1:6" ht="15.75" thickBot="1" x14ac:dyDescent="0.3">
      <c r="A5138" s="36"/>
      <c r="B5138" s="7" t="s">
        <v>36</v>
      </c>
      <c r="C5138" s="5">
        <f>IF(C5137="","",IF(AND(MONTH(C5137)&gt;=1,MONTH(C5137)&lt;=3),1,IF(AND(MONTH(C5137)&gt;=4,MONTH(C5137)&lt;=6),2,IF(AND(MONTH(C5137)&gt;=7,MONTH(C5137)&lt;=9),3,4))))</f>
        <v>3</v>
      </c>
      <c r="D5138" s="36"/>
      <c r="E5138" s="7" t="s">
        <v>37</v>
      </c>
      <c r="F5138" s="6"/>
    </row>
    <row r="5139" spans="1:6" ht="15.75" thickBot="1" x14ac:dyDescent="0.3">
      <c r="A5139" s="36"/>
      <c r="B5139" s="7" t="s">
        <v>39</v>
      </c>
      <c r="C5139" s="15">
        <v>45565</v>
      </c>
      <c r="D5139" s="36"/>
      <c r="E5139" s="7" t="s">
        <v>40</v>
      </c>
      <c r="F5139" s="6"/>
    </row>
    <row r="5140" spans="1:6" ht="15.75" thickBot="1" x14ac:dyDescent="0.3">
      <c r="A5140" s="36"/>
      <c r="B5140" s="7" t="s">
        <v>36</v>
      </c>
      <c r="C5140" s="5">
        <f>IF(C5139="","",IF(AND(MONTH(C5139)&gt;=1,MONTH(C5139)&lt;=3),1,IF(AND(MONTH(C5139)&gt;=4,MONTH(C5139)&lt;=6),2,IF(AND(MONTH(C5139)&gt;=7,MONTH(C5139)&lt;=9),3,4))))</f>
        <v>3</v>
      </c>
      <c r="D5140" s="36"/>
      <c r="E5140" s="7" t="s">
        <v>41</v>
      </c>
      <c r="F5140" s="6"/>
    </row>
    <row r="5141" spans="1:6" ht="15.75" thickBot="1" x14ac:dyDescent="0.3">
      <c r="A5141" s="40"/>
      <c r="B5141" s="40"/>
      <c r="C5141" s="40"/>
      <c r="D5141" s="40"/>
      <c r="E5141" s="40"/>
      <c r="F5141" s="40"/>
    </row>
    <row r="5142" spans="1:6" ht="15.75" thickBot="1" x14ac:dyDescent="0.3">
      <c r="A5142" s="12" t="s">
        <v>42</v>
      </c>
      <c r="B5142" s="12" t="s">
        <v>43</v>
      </c>
      <c r="C5142" s="12" t="s">
        <v>44</v>
      </c>
      <c r="D5142" s="12" t="s">
        <v>45</v>
      </c>
      <c r="E5142" s="12" t="s">
        <v>46</v>
      </c>
      <c r="F5142" s="12" t="s">
        <v>47</v>
      </c>
    </row>
    <row r="5143" spans="1:6" x14ac:dyDescent="0.25">
      <c r="A5143" s="8">
        <v>14111514</v>
      </c>
      <c r="B5143" s="9" t="str">
        <f t="shared" ref="B5143:B5153" ca="1" si="92">IFERROR(INDEX(UNSPSCDes,MATCH(INDIRECT(ADDRESS(ROW(),COLUMN()-1,4)),UNSPSCCode,0)),"")</f>
        <v>Blocs o cuadernos de papel</v>
      </c>
      <c r="C5143" s="33" t="s">
        <v>55</v>
      </c>
      <c r="D5143" s="8">
        <v>2400</v>
      </c>
      <c r="E5143" s="11">
        <v>92.04</v>
      </c>
      <c r="F5143" s="10">
        <f t="shared" ref="F5143:F5153" ca="1" si="93">INDIRECT(ADDRESS(ROW(),COLUMN()-2,4))*INDIRECT(ADDRESS(ROW(),COLUMN()-1,4))</f>
        <v>220896.00000000003</v>
      </c>
    </row>
    <row r="5144" spans="1:6" x14ac:dyDescent="0.25">
      <c r="A5144" s="8">
        <v>44121706</v>
      </c>
      <c r="B5144" s="9" t="str">
        <f t="shared" ca="1" si="92"/>
        <v>Lápices de madera</v>
      </c>
      <c r="C5144" s="33" t="s">
        <v>49</v>
      </c>
      <c r="D5144" s="8">
        <v>100</v>
      </c>
      <c r="E5144" s="11">
        <v>88.6</v>
      </c>
      <c r="F5144" s="10">
        <f t="shared" ca="1" si="93"/>
        <v>8860</v>
      </c>
    </row>
    <row r="5145" spans="1:6" x14ac:dyDescent="0.25">
      <c r="A5145" s="8">
        <v>44121701</v>
      </c>
      <c r="B5145" s="9" t="str">
        <f t="shared" ca="1" si="92"/>
        <v>Bolígrafos</v>
      </c>
      <c r="C5145" s="33" t="s">
        <v>49</v>
      </c>
      <c r="D5145" s="8">
        <v>100</v>
      </c>
      <c r="E5145" s="11">
        <v>109.84</v>
      </c>
      <c r="F5145" s="10">
        <f t="shared" ca="1" si="93"/>
        <v>10984</v>
      </c>
    </row>
    <row r="5146" spans="1:6" x14ac:dyDescent="0.25">
      <c r="A5146" s="8">
        <v>53121603</v>
      </c>
      <c r="B5146" s="9" t="str">
        <f t="shared" ca="1" si="92"/>
        <v>Morrales</v>
      </c>
      <c r="C5146" s="33" t="s">
        <v>55</v>
      </c>
      <c r="D5146" s="8">
        <v>600</v>
      </c>
      <c r="E5146" s="11">
        <v>973.5</v>
      </c>
      <c r="F5146" s="10">
        <f t="shared" ca="1" si="93"/>
        <v>584100</v>
      </c>
    </row>
    <row r="5147" spans="1:6" x14ac:dyDescent="0.25">
      <c r="A5147" s="8">
        <v>44121804</v>
      </c>
      <c r="B5147" s="9" t="str">
        <f t="shared" ca="1" si="92"/>
        <v>Borradores</v>
      </c>
      <c r="C5147" s="33" t="s">
        <v>55</v>
      </c>
      <c r="D5147" s="8">
        <v>600</v>
      </c>
      <c r="E5147" s="11">
        <v>51.92</v>
      </c>
      <c r="F5147" s="10">
        <f t="shared" ca="1" si="93"/>
        <v>31152</v>
      </c>
    </row>
    <row r="5148" spans="1:6" x14ac:dyDescent="0.25">
      <c r="A5148" s="8">
        <v>44121619</v>
      </c>
      <c r="B5148" s="9" t="str">
        <f t="shared" ca="1" si="92"/>
        <v>Tajalápices manuales</v>
      </c>
      <c r="C5148" s="33" t="s">
        <v>55</v>
      </c>
      <c r="D5148" s="8">
        <v>600</v>
      </c>
      <c r="E5148" s="11">
        <v>23.6</v>
      </c>
      <c r="F5148" s="10">
        <f t="shared" ca="1" si="93"/>
        <v>14160</v>
      </c>
    </row>
    <row r="5149" spans="1:6" x14ac:dyDescent="0.25">
      <c r="A5149" s="8">
        <v>44111509</v>
      </c>
      <c r="B5149" s="9" t="str">
        <f t="shared" ca="1" si="92"/>
        <v>Sujetadores de esferos o lápices</v>
      </c>
      <c r="C5149" s="33" t="s">
        <v>55</v>
      </c>
      <c r="D5149" s="8">
        <v>600</v>
      </c>
      <c r="E5149" s="11">
        <v>135.69999999999999</v>
      </c>
      <c r="F5149" s="10">
        <f t="shared" ca="1" si="93"/>
        <v>81420</v>
      </c>
    </row>
    <row r="5150" spans="1:6" x14ac:dyDescent="0.25">
      <c r="A5150" s="8">
        <v>52152002</v>
      </c>
      <c r="B5150" s="9" t="str">
        <f t="shared" ca="1" si="92"/>
        <v>Contenedores para almacenar alimentos para uso doméstico</v>
      </c>
      <c r="C5150" s="33" t="s">
        <v>55</v>
      </c>
      <c r="D5150" s="8">
        <v>600</v>
      </c>
      <c r="E5150" s="11">
        <v>722.75</v>
      </c>
      <c r="F5150" s="10">
        <f t="shared" ca="1" si="93"/>
        <v>433650</v>
      </c>
    </row>
    <row r="5151" spans="1:6" x14ac:dyDescent="0.25">
      <c r="A5151" s="8">
        <v>44111803</v>
      </c>
      <c r="B5151" s="9" t="str">
        <f t="shared" ca="1" si="92"/>
        <v>Compases</v>
      </c>
      <c r="C5151" s="33" t="s">
        <v>55</v>
      </c>
      <c r="D5151" s="8">
        <v>600</v>
      </c>
      <c r="E5151" s="11">
        <v>45.78</v>
      </c>
      <c r="F5151" s="10">
        <f t="shared" ca="1" si="93"/>
        <v>27468</v>
      </c>
    </row>
    <row r="5152" spans="1:6" x14ac:dyDescent="0.25">
      <c r="A5152" s="8">
        <v>44111812</v>
      </c>
      <c r="B5152" s="9" t="str">
        <f t="shared" ca="1" si="92"/>
        <v>Kits o sets de dibujo</v>
      </c>
      <c r="C5152" s="33" t="s">
        <v>55</v>
      </c>
      <c r="D5152" s="8">
        <v>600</v>
      </c>
      <c r="E5152" s="11">
        <v>37.909999999999997</v>
      </c>
      <c r="F5152" s="10">
        <f t="shared" ca="1" si="93"/>
        <v>22745.999999999996</v>
      </c>
    </row>
    <row r="5153" spans="1:6" x14ac:dyDescent="0.25">
      <c r="A5153" s="8">
        <v>44121707</v>
      </c>
      <c r="B5153" s="9" t="str">
        <f t="shared" ca="1" si="92"/>
        <v>Lápices de colores</v>
      </c>
      <c r="C5153" s="33" t="s">
        <v>49</v>
      </c>
      <c r="D5153" s="8">
        <v>600</v>
      </c>
      <c r="E5153" s="11">
        <v>107.43</v>
      </c>
      <c r="F5153" s="10">
        <f t="shared" ca="1" si="93"/>
        <v>64458.000000000007</v>
      </c>
    </row>
    <row r="5154" spans="1:6" x14ac:dyDescent="0.25">
      <c r="A5154" s="40"/>
      <c r="B5154" s="40"/>
      <c r="C5154" s="40"/>
      <c r="D5154" s="40"/>
      <c r="E5154" s="13" t="s">
        <v>87</v>
      </c>
      <c r="F5154" s="14">
        <f ca="1">SUM(Table3133193[MONTO TOTAL ESTIMADO])</f>
        <v>1499894</v>
      </c>
    </row>
    <row r="5155" spans="1:6" ht="15.75" thickBot="1" x14ac:dyDescent="0.3">
      <c r="A5155" s="42"/>
      <c r="B5155" s="42"/>
      <c r="C5155" s="42"/>
      <c r="D5155" s="42"/>
      <c r="E5155" s="42"/>
      <c r="F5155" s="42"/>
    </row>
    <row r="5156" spans="1:6" ht="23.25" thickBot="1" x14ac:dyDescent="0.3">
      <c r="A5156" s="4" t="s">
        <v>19</v>
      </c>
      <c r="B5156" s="4" t="s">
        <v>20</v>
      </c>
      <c r="C5156" s="4" t="s">
        <v>21</v>
      </c>
      <c r="D5156" s="4" t="s">
        <v>22</v>
      </c>
      <c r="E5156" s="4" t="s">
        <v>23</v>
      </c>
      <c r="F5156" s="4" t="s">
        <v>24</v>
      </c>
    </row>
    <row r="5157" spans="1:6" ht="15.75" thickBot="1" x14ac:dyDescent="0.3">
      <c r="A5157" s="32" t="s">
        <v>462</v>
      </c>
      <c r="B5157" s="32" t="s">
        <v>463</v>
      </c>
      <c r="C5157" s="32" t="s">
        <v>27</v>
      </c>
      <c r="D5157" s="6" t="s">
        <v>28</v>
      </c>
      <c r="E5157" s="6" t="s">
        <v>262</v>
      </c>
      <c r="F5157" s="6"/>
    </row>
    <row r="5158" spans="1:6" ht="15.75" thickBot="1" x14ac:dyDescent="0.3">
      <c r="A5158" s="35" t="s">
        <v>31</v>
      </c>
      <c r="B5158" s="7" t="s">
        <v>32</v>
      </c>
      <c r="C5158" s="15">
        <v>45474</v>
      </c>
      <c r="D5158" s="35" t="s">
        <v>33</v>
      </c>
      <c r="E5158" s="7" t="s">
        <v>34</v>
      </c>
      <c r="F5158" s="6"/>
    </row>
    <row r="5159" spans="1:6" ht="15.75" thickBot="1" x14ac:dyDescent="0.3">
      <c r="A5159" s="36"/>
      <c r="B5159" s="7" t="s">
        <v>36</v>
      </c>
      <c r="C5159" s="5">
        <f>IF(C5158="","",IF(AND(MONTH(C5158)&gt;=1,MONTH(C5158)&lt;=3),1,IF(AND(MONTH(C5158)&gt;=4,MONTH(C5158)&lt;=6),2,IF(AND(MONTH(C5158)&gt;=7,MONTH(C5158)&lt;=9),3,4))))</f>
        <v>3</v>
      </c>
      <c r="D5159" s="36"/>
      <c r="E5159" s="7" t="s">
        <v>37</v>
      </c>
      <c r="F5159" s="6"/>
    </row>
    <row r="5160" spans="1:6" ht="15.75" thickBot="1" x14ac:dyDescent="0.3">
      <c r="A5160" s="36"/>
      <c r="B5160" s="7" t="s">
        <v>39</v>
      </c>
      <c r="C5160" s="15">
        <v>45565</v>
      </c>
      <c r="D5160" s="36"/>
      <c r="E5160" s="7" t="s">
        <v>40</v>
      </c>
      <c r="F5160" s="6"/>
    </row>
    <row r="5161" spans="1:6" ht="15.75" thickBot="1" x14ac:dyDescent="0.3">
      <c r="A5161" s="36"/>
      <c r="B5161" s="7" t="s">
        <v>36</v>
      </c>
      <c r="C5161" s="5">
        <f>IF(C5160="","",IF(AND(MONTH(C5160)&gt;=1,MONTH(C5160)&lt;=3),1,IF(AND(MONTH(C5160)&gt;=4,MONTH(C5160)&lt;=6),2,IF(AND(MONTH(C5160)&gt;=7,MONTH(C5160)&lt;=9),3,4))))</f>
        <v>3</v>
      </c>
      <c r="D5161" s="36"/>
      <c r="E5161" s="7" t="s">
        <v>41</v>
      </c>
      <c r="F5161" s="6"/>
    </row>
    <row r="5162" spans="1:6" ht="15.75" thickBot="1" x14ac:dyDescent="0.3">
      <c r="A5162" s="40"/>
      <c r="B5162" s="40"/>
      <c r="C5162" s="40"/>
      <c r="D5162" s="40"/>
      <c r="E5162" s="40"/>
      <c r="F5162" s="40"/>
    </row>
    <row r="5163" spans="1:6" ht="15.75" thickBot="1" x14ac:dyDescent="0.3">
      <c r="A5163" s="12" t="s">
        <v>42</v>
      </c>
      <c r="B5163" s="12" t="s">
        <v>43</v>
      </c>
      <c r="C5163" s="12" t="s">
        <v>44</v>
      </c>
      <c r="D5163" s="12" t="s">
        <v>45</v>
      </c>
      <c r="E5163" s="12" t="s">
        <v>46</v>
      </c>
      <c r="F5163" s="12" t="s">
        <v>47</v>
      </c>
    </row>
    <row r="5164" spans="1:6" x14ac:dyDescent="0.25">
      <c r="A5164" s="8">
        <v>50161509</v>
      </c>
      <c r="B5164" s="9" t="str">
        <f t="shared" ref="B5164:B5177" ca="1" si="94">IFERROR(INDEX(UNSPSCDes,MATCH(INDIRECT(ADDRESS(ROW(),COLUMN()-1,4)),UNSPSCCode,0)),"")</f>
        <v>Azucares naturales o productos endulzantes</v>
      </c>
      <c r="C5164" s="8" t="s">
        <v>74</v>
      </c>
      <c r="D5164" s="8">
        <v>500</v>
      </c>
      <c r="E5164" s="11">
        <v>83.78</v>
      </c>
      <c r="F5164" s="10">
        <f t="shared" ref="F5164:F5177" ca="1" si="95">INDIRECT(ADDRESS(ROW(),COLUMN()-2,4))*INDIRECT(ADDRESS(ROW(),COLUMN()-1,4))</f>
        <v>41890</v>
      </c>
    </row>
    <row r="5165" spans="1:6" x14ac:dyDescent="0.25">
      <c r="A5165" s="8">
        <v>50221101</v>
      </c>
      <c r="B5165" s="9" t="str">
        <f t="shared" ca="1" si="94"/>
        <v>Grano de cereal</v>
      </c>
      <c r="C5165" s="33" t="s">
        <v>74</v>
      </c>
      <c r="D5165" s="8">
        <v>500</v>
      </c>
      <c r="E5165" s="11">
        <v>231.38</v>
      </c>
      <c r="F5165" s="10">
        <f t="shared" ca="1" si="95"/>
        <v>115690</v>
      </c>
    </row>
    <row r="5166" spans="1:6" x14ac:dyDescent="0.25">
      <c r="A5166" s="8">
        <v>50151513</v>
      </c>
      <c r="B5166" s="9" t="str">
        <f t="shared" ca="1" si="94"/>
        <v>Aceites vegetales o  de planta comestibles</v>
      </c>
      <c r="C5166" s="33" t="s">
        <v>55</v>
      </c>
      <c r="D5166" s="8">
        <v>500</v>
      </c>
      <c r="E5166" s="11">
        <v>132.16</v>
      </c>
      <c r="F5166" s="10">
        <f t="shared" ca="1" si="95"/>
        <v>66080</v>
      </c>
    </row>
    <row r="5167" spans="1:6" x14ac:dyDescent="0.25">
      <c r="A5167" s="8">
        <v>50192111</v>
      </c>
      <c r="B5167" s="9" t="str">
        <f t="shared" ca="1" si="94"/>
        <v>Carne seca o procesada</v>
      </c>
      <c r="C5167" s="33" t="s">
        <v>55</v>
      </c>
      <c r="D5167" s="8">
        <v>500</v>
      </c>
      <c r="E5167" s="11">
        <v>619.5</v>
      </c>
      <c r="F5167" s="10">
        <f t="shared" ca="1" si="95"/>
        <v>309750</v>
      </c>
    </row>
    <row r="5168" spans="1:6" x14ac:dyDescent="0.25">
      <c r="A5168" s="8">
        <v>50201706</v>
      </c>
      <c r="B5168" s="9" t="str">
        <f t="shared" ca="1" si="94"/>
        <v>Café</v>
      </c>
      <c r="C5168" s="33" t="s">
        <v>74</v>
      </c>
      <c r="D5168" s="8">
        <v>500</v>
      </c>
      <c r="E5168" s="11">
        <v>188.8</v>
      </c>
      <c r="F5168" s="10">
        <f t="shared" ca="1" si="95"/>
        <v>94400</v>
      </c>
    </row>
    <row r="5169" spans="1:6" x14ac:dyDescent="0.25">
      <c r="A5169" s="8">
        <v>50171831</v>
      </c>
      <c r="B5169" s="9" t="str">
        <f t="shared" ca="1" si="94"/>
        <v>Salsas para cocinar</v>
      </c>
      <c r="C5169" s="33" t="s">
        <v>55</v>
      </c>
      <c r="D5169" s="8">
        <v>500</v>
      </c>
      <c r="E5169" s="11">
        <v>105.2</v>
      </c>
      <c r="F5169" s="10">
        <f t="shared" ca="1" si="95"/>
        <v>52600</v>
      </c>
    </row>
    <row r="5170" spans="1:6" x14ac:dyDescent="0.25">
      <c r="A5170" s="8">
        <v>50121538</v>
      </c>
      <c r="B5170" s="9" t="str">
        <f t="shared" ca="1" si="94"/>
        <v>Pescado almacenado en repisa</v>
      </c>
      <c r="C5170" s="33" t="s">
        <v>55</v>
      </c>
      <c r="D5170" s="8">
        <v>500</v>
      </c>
      <c r="E5170" s="11">
        <v>142.78</v>
      </c>
      <c r="F5170" s="10">
        <f t="shared" ca="1" si="95"/>
        <v>71390</v>
      </c>
    </row>
    <row r="5171" spans="1:6" x14ac:dyDescent="0.25">
      <c r="A5171" s="8">
        <v>50192902</v>
      </c>
      <c r="B5171" s="9" t="str">
        <f t="shared" ca="1" si="94"/>
        <v>Pasta o fideos de repisa</v>
      </c>
      <c r="C5171" s="33" t="s">
        <v>55</v>
      </c>
      <c r="D5171" s="8">
        <v>500</v>
      </c>
      <c r="E5171" s="11">
        <v>48.38</v>
      </c>
      <c r="F5171" s="10">
        <f t="shared" ca="1" si="95"/>
        <v>24190</v>
      </c>
    </row>
    <row r="5172" spans="1:6" x14ac:dyDescent="0.25">
      <c r="A5172" s="8">
        <v>50101543</v>
      </c>
      <c r="B5172" s="9" t="str">
        <f t="shared" ca="1" si="94"/>
        <v>Judías secas</v>
      </c>
      <c r="C5172" s="33" t="s">
        <v>55</v>
      </c>
      <c r="D5172" s="8">
        <v>500</v>
      </c>
      <c r="E5172" s="11">
        <v>178.18</v>
      </c>
      <c r="F5172" s="10">
        <f t="shared" ca="1" si="95"/>
        <v>89090</v>
      </c>
    </row>
    <row r="5173" spans="1:6" x14ac:dyDescent="0.25">
      <c r="A5173" s="8">
        <v>50131701</v>
      </c>
      <c r="B5173" s="9" t="str">
        <f t="shared" ca="1" si="94"/>
        <v>Productos de leche o mantequilla frescos</v>
      </c>
      <c r="C5173" s="33" t="s">
        <v>55</v>
      </c>
      <c r="D5173" s="8">
        <v>500</v>
      </c>
      <c r="E5173" s="11">
        <v>384.68</v>
      </c>
      <c r="F5173" s="10">
        <f t="shared" ca="1" si="95"/>
        <v>192340</v>
      </c>
    </row>
    <row r="5174" spans="1:6" x14ac:dyDescent="0.25">
      <c r="A5174" s="8">
        <v>50121538</v>
      </c>
      <c r="B5174" s="9" t="str">
        <f t="shared" ca="1" si="94"/>
        <v>Pescado almacenado en repisa</v>
      </c>
      <c r="C5174" s="33" t="s">
        <v>55</v>
      </c>
      <c r="D5174" s="8">
        <v>500</v>
      </c>
      <c r="E5174" s="11">
        <v>148.68</v>
      </c>
      <c r="F5174" s="10">
        <f t="shared" ca="1" si="95"/>
        <v>74340</v>
      </c>
    </row>
    <row r="5175" spans="1:6" x14ac:dyDescent="0.25">
      <c r="A5175" s="8">
        <v>50101542</v>
      </c>
      <c r="B5175" s="9" t="str">
        <f t="shared" ca="1" si="94"/>
        <v>Harina vegetal</v>
      </c>
      <c r="C5175" s="33" t="s">
        <v>55</v>
      </c>
      <c r="D5175" s="8">
        <v>500</v>
      </c>
      <c r="E5175" s="11">
        <v>34.22</v>
      </c>
      <c r="F5175" s="10">
        <f t="shared" ca="1" si="95"/>
        <v>17110</v>
      </c>
    </row>
    <row r="5176" spans="1:6" x14ac:dyDescent="0.25">
      <c r="A5176" s="8">
        <v>50161511</v>
      </c>
      <c r="B5176" s="9" t="str">
        <f t="shared" ca="1" si="94"/>
        <v>Chocolate o sustituto de chocolate</v>
      </c>
      <c r="C5176" s="33" t="s">
        <v>55</v>
      </c>
      <c r="D5176" s="8">
        <v>500</v>
      </c>
      <c r="E5176" s="11">
        <v>112.1</v>
      </c>
      <c r="F5176" s="10">
        <f t="shared" ca="1" si="95"/>
        <v>56050</v>
      </c>
    </row>
    <row r="5177" spans="1:6" x14ac:dyDescent="0.25">
      <c r="A5177" s="8">
        <v>50221101</v>
      </c>
      <c r="B5177" s="9" t="str">
        <f t="shared" ca="1" si="94"/>
        <v>Grano de cereal</v>
      </c>
      <c r="C5177" s="33" t="s">
        <v>55</v>
      </c>
      <c r="D5177" s="8">
        <v>500</v>
      </c>
      <c r="E5177" s="11">
        <v>113.28</v>
      </c>
      <c r="F5177" s="10">
        <f t="shared" ca="1" si="95"/>
        <v>56640</v>
      </c>
    </row>
    <row r="5178" spans="1:6" x14ac:dyDescent="0.25">
      <c r="A5178" s="40"/>
      <c r="B5178" s="40"/>
      <c r="C5178" s="40"/>
      <c r="D5178" s="40"/>
      <c r="E5178" s="13" t="s">
        <v>87</v>
      </c>
      <c r="F5178" s="14">
        <f ca="1">SUM(Table3134194[MONTO TOTAL ESTIMADO])</f>
        <v>1261560</v>
      </c>
    </row>
    <row r="5179" spans="1:6" ht="15.75" thickBot="1" x14ac:dyDescent="0.3">
      <c r="A5179" s="42"/>
      <c r="B5179" s="42"/>
      <c r="C5179" s="42"/>
      <c r="D5179" s="42"/>
      <c r="E5179" s="42"/>
      <c r="F5179" s="42"/>
    </row>
    <row r="5180" spans="1:6" ht="23.25" thickBot="1" x14ac:dyDescent="0.3">
      <c r="A5180" s="4" t="s">
        <v>19</v>
      </c>
      <c r="B5180" s="4" t="s">
        <v>20</v>
      </c>
      <c r="C5180" s="4" t="s">
        <v>21</v>
      </c>
      <c r="D5180" s="4" t="s">
        <v>22</v>
      </c>
      <c r="E5180" s="4" t="s">
        <v>23</v>
      </c>
      <c r="F5180" s="4" t="s">
        <v>24</v>
      </c>
    </row>
    <row r="5181" spans="1:6" ht="15.75" thickBot="1" x14ac:dyDescent="0.3">
      <c r="A5181" s="32" t="s">
        <v>498</v>
      </c>
      <c r="B5181" s="32" t="s">
        <v>499</v>
      </c>
      <c r="C5181" s="32" t="s">
        <v>129</v>
      </c>
      <c r="D5181" s="6" t="s">
        <v>28</v>
      </c>
      <c r="E5181" s="6" t="s">
        <v>262</v>
      </c>
      <c r="F5181" s="6"/>
    </row>
    <row r="5182" spans="1:6" ht="15.75" thickBot="1" x14ac:dyDescent="0.3">
      <c r="A5182" s="35" t="s">
        <v>31</v>
      </c>
      <c r="B5182" s="7" t="s">
        <v>32</v>
      </c>
      <c r="C5182" s="15">
        <v>45474</v>
      </c>
      <c r="D5182" s="35" t="s">
        <v>33</v>
      </c>
      <c r="E5182" s="7" t="s">
        <v>34</v>
      </c>
      <c r="F5182" s="6"/>
    </row>
    <row r="5183" spans="1:6" ht="15.75" thickBot="1" x14ac:dyDescent="0.3">
      <c r="A5183" s="36"/>
      <c r="B5183" s="7" t="s">
        <v>36</v>
      </c>
      <c r="C5183" s="5">
        <f>IF(C5182="","",IF(AND(MONTH(C5182)&gt;=1,MONTH(C5182)&lt;=3),1,IF(AND(MONTH(C5182)&gt;=4,MONTH(C5182)&lt;=6),2,IF(AND(MONTH(C5182)&gt;=7,MONTH(C5182)&lt;=9),3,4))))</f>
        <v>3</v>
      </c>
      <c r="D5183" s="36"/>
      <c r="E5183" s="7" t="s">
        <v>37</v>
      </c>
      <c r="F5183" s="6"/>
    </row>
    <row r="5184" spans="1:6" ht="15.75" thickBot="1" x14ac:dyDescent="0.3">
      <c r="A5184" s="36"/>
      <c r="B5184" s="7" t="s">
        <v>39</v>
      </c>
      <c r="C5184" s="15">
        <v>45565</v>
      </c>
      <c r="D5184" s="36"/>
      <c r="E5184" s="7" t="s">
        <v>40</v>
      </c>
      <c r="F5184" s="6"/>
    </row>
    <row r="5185" spans="1:6" ht="15.75" thickBot="1" x14ac:dyDescent="0.3">
      <c r="A5185" s="36"/>
      <c r="B5185" s="7" t="s">
        <v>36</v>
      </c>
      <c r="C5185" s="5">
        <f>IF(C5184="","",IF(AND(MONTH(C5184)&gt;=1,MONTH(C5184)&lt;=3),1,IF(AND(MONTH(C5184)&gt;=4,MONTH(C5184)&lt;=6),2,IF(AND(MONTH(C5184)&gt;=7,MONTH(C5184)&lt;=9),3,4))))</f>
        <v>3</v>
      </c>
      <c r="D5185" s="36"/>
      <c r="E5185" s="7" t="s">
        <v>41</v>
      </c>
      <c r="F5185" s="6"/>
    </row>
    <row r="5186" spans="1:6" ht="15.75" thickBot="1" x14ac:dyDescent="0.3">
      <c r="A5186" s="40"/>
      <c r="B5186" s="40"/>
      <c r="C5186" s="40"/>
      <c r="D5186" s="40"/>
      <c r="E5186" s="40"/>
      <c r="F5186" s="40"/>
    </row>
    <row r="5187" spans="1:6" ht="15.75" thickBot="1" x14ac:dyDescent="0.3">
      <c r="A5187" s="12" t="s">
        <v>42</v>
      </c>
      <c r="B5187" s="12" t="s">
        <v>43</v>
      </c>
      <c r="C5187" s="12" t="s">
        <v>44</v>
      </c>
      <c r="D5187" s="12" t="s">
        <v>45</v>
      </c>
      <c r="E5187" s="12" t="s">
        <v>46</v>
      </c>
      <c r="F5187" s="12" t="s">
        <v>47</v>
      </c>
    </row>
    <row r="5188" spans="1:6" x14ac:dyDescent="0.25">
      <c r="A5188" s="8">
        <v>90101603</v>
      </c>
      <c r="B5188" s="9" t="str">
        <f ca="1">IFERROR(INDEX(UNSPSCDes,MATCH(INDIRECT(ADDRESS(ROW(),COLUMN()-1,4)),UNSPSCCode,0)),"")</f>
        <v>Servicios de cáterin</v>
      </c>
      <c r="C5188" s="33" t="s">
        <v>55</v>
      </c>
      <c r="D5188" s="8">
        <v>1200</v>
      </c>
      <c r="E5188" s="11">
        <v>750</v>
      </c>
      <c r="F5188" s="10">
        <f ca="1">INDIRECT(ADDRESS(ROW(),COLUMN()-2,4))*INDIRECT(ADDRESS(ROW(),COLUMN()-1,4))</f>
        <v>900000</v>
      </c>
    </row>
    <row r="5189" spans="1:6" x14ac:dyDescent="0.25">
      <c r="A5189" s="40"/>
      <c r="B5189" s="40"/>
      <c r="C5189" s="40"/>
      <c r="D5189" s="40"/>
      <c r="E5189" s="13" t="s">
        <v>87</v>
      </c>
      <c r="F5189" s="14">
        <f ca="1">SUM(Table3135195[MONTO TOTAL ESTIMADO])</f>
        <v>900000</v>
      </c>
    </row>
    <row r="5190" spans="1:6" ht="15.75" thickBot="1" x14ac:dyDescent="0.3">
      <c r="A5190" s="42"/>
      <c r="B5190" s="42"/>
      <c r="C5190" s="42"/>
      <c r="D5190" s="42"/>
      <c r="E5190" s="42"/>
      <c r="F5190" s="42"/>
    </row>
    <row r="5191" spans="1:6" ht="23.25" thickBot="1" x14ac:dyDescent="0.3">
      <c r="A5191" s="4" t="s">
        <v>19</v>
      </c>
      <c r="B5191" s="4" t="s">
        <v>20</v>
      </c>
      <c r="C5191" s="4" t="s">
        <v>21</v>
      </c>
      <c r="D5191" s="4" t="s">
        <v>22</v>
      </c>
      <c r="E5191" s="4" t="s">
        <v>23</v>
      </c>
      <c r="F5191" s="4" t="s">
        <v>24</v>
      </c>
    </row>
    <row r="5192" spans="1:6" ht="15.75" thickBot="1" x14ac:dyDescent="0.3">
      <c r="A5192" s="32" t="s">
        <v>221</v>
      </c>
      <c r="B5192" s="32" t="s">
        <v>500</v>
      </c>
      <c r="C5192" s="32" t="s">
        <v>129</v>
      </c>
      <c r="D5192" s="6" t="s">
        <v>28</v>
      </c>
      <c r="E5192" s="6" t="s">
        <v>262</v>
      </c>
      <c r="F5192" s="6"/>
    </row>
    <row r="5193" spans="1:6" ht="15.75" thickBot="1" x14ac:dyDescent="0.3">
      <c r="A5193" s="35" t="s">
        <v>31</v>
      </c>
      <c r="B5193" s="7" t="s">
        <v>32</v>
      </c>
      <c r="C5193" s="15">
        <v>45474</v>
      </c>
      <c r="D5193" s="35" t="s">
        <v>33</v>
      </c>
      <c r="E5193" s="7" t="s">
        <v>34</v>
      </c>
      <c r="F5193" s="6"/>
    </row>
    <row r="5194" spans="1:6" ht="15.75" thickBot="1" x14ac:dyDescent="0.3">
      <c r="A5194" s="36"/>
      <c r="B5194" s="7" t="s">
        <v>36</v>
      </c>
      <c r="C5194" s="5">
        <f>IF(C5193="","",IF(AND(MONTH(C5193)&gt;=1,MONTH(C5193)&lt;=3),1,IF(AND(MONTH(C5193)&gt;=4,MONTH(C5193)&lt;=6),2,IF(AND(MONTH(C5193)&gt;=7,MONTH(C5193)&lt;=9),3,4))))</f>
        <v>3</v>
      </c>
      <c r="D5194" s="36"/>
      <c r="E5194" s="7" t="s">
        <v>37</v>
      </c>
      <c r="F5194" s="6"/>
    </row>
    <row r="5195" spans="1:6" ht="15.75" thickBot="1" x14ac:dyDescent="0.3">
      <c r="A5195" s="36"/>
      <c r="B5195" s="7" t="s">
        <v>39</v>
      </c>
      <c r="C5195" s="15">
        <v>45565</v>
      </c>
      <c r="D5195" s="36"/>
      <c r="E5195" s="7" t="s">
        <v>40</v>
      </c>
      <c r="F5195" s="6"/>
    </row>
    <row r="5196" spans="1:6" ht="15.75" thickBot="1" x14ac:dyDescent="0.3">
      <c r="A5196" s="36"/>
      <c r="B5196" s="7" t="s">
        <v>36</v>
      </c>
      <c r="C5196" s="5">
        <f>IF(C5195="","",IF(AND(MONTH(C5195)&gt;=1,MONTH(C5195)&lt;=3),1,IF(AND(MONTH(C5195)&gt;=4,MONTH(C5195)&lt;=6),2,IF(AND(MONTH(C5195)&gt;=7,MONTH(C5195)&lt;=9),3,4))))</f>
        <v>3</v>
      </c>
      <c r="D5196" s="36"/>
      <c r="E5196" s="7" t="s">
        <v>41</v>
      </c>
      <c r="F5196" s="6"/>
    </row>
    <row r="5197" spans="1:6" ht="15.75" thickBot="1" x14ac:dyDescent="0.3">
      <c r="A5197" s="40"/>
      <c r="B5197" s="40"/>
      <c r="C5197" s="40"/>
      <c r="D5197" s="40"/>
      <c r="E5197" s="40"/>
      <c r="F5197" s="40"/>
    </row>
    <row r="5198" spans="1:6" ht="15.75" thickBot="1" x14ac:dyDescent="0.3">
      <c r="A5198" s="12" t="s">
        <v>42</v>
      </c>
      <c r="B5198" s="12" t="s">
        <v>43</v>
      </c>
      <c r="C5198" s="12" t="s">
        <v>44</v>
      </c>
      <c r="D5198" s="12" t="s">
        <v>45</v>
      </c>
      <c r="E5198" s="12" t="s">
        <v>46</v>
      </c>
      <c r="F5198" s="12" t="s">
        <v>47</v>
      </c>
    </row>
    <row r="5199" spans="1:6" x14ac:dyDescent="0.25">
      <c r="A5199" s="8">
        <v>90101802</v>
      </c>
      <c r="B5199" s="9" t="str">
        <f ca="1">IFERROR(INDEX(UNSPSCDes,MATCH(INDIRECT(ADDRESS(ROW(),COLUMN()-1,4)),UNSPSCCode,0)),"")</f>
        <v>Servicios de comidas a domicilio</v>
      </c>
      <c r="C5199" s="33" t="s">
        <v>55</v>
      </c>
      <c r="D5199" s="8">
        <v>15</v>
      </c>
      <c r="E5199" s="11">
        <v>1800</v>
      </c>
      <c r="F5199" s="10">
        <f ca="1">INDIRECT(ADDRESS(ROW(),COLUMN()-2,4))*INDIRECT(ADDRESS(ROW(),COLUMN()-1,4))</f>
        <v>27000</v>
      </c>
    </row>
    <row r="5200" spans="1:6" x14ac:dyDescent="0.25">
      <c r="A5200" s="40"/>
      <c r="B5200" s="40"/>
      <c r="C5200" s="40"/>
      <c r="D5200" s="40"/>
      <c r="E5200" s="13" t="s">
        <v>87</v>
      </c>
      <c r="F5200" s="14">
        <f ca="1">SUM(Table3136196[MONTO TOTAL ESTIMADO])</f>
        <v>27000</v>
      </c>
    </row>
    <row r="5201" spans="1:6" ht="15.75" thickBot="1" x14ac:dyDescent="0.3">
      <c r="A5201" s="42"/>
      <c r="B5201" s="42"/>
      <c r="C5201" s="42"/>
      <c r="D5201" s="42"/>
      <c r="E5201" s="42"/>
      <c r="F5201" s="42"/>
    </row>
    <row r="5202" spans="1:6" ht="23.25" thickBot="1" x14ac:dyDescent="0.3">
      <c r="A5202" s="4" t="s">
        <v>19</v>
      </c>
      <c r="B5202" s="4" t="s">
        <v>20</v>
      </c>
      <c r="C5202" s="4" t="s">
        <v>21</v>
      </c>
      <c r="D5202" s="4" t="s">
        <v>22</v>
      </c>
      <c r="E5202" s="4" t="s">
        <v>23</v>
      </c>
      <c r="F5202" s="4" t="s">
        <v>24</v>
      </c>
    </row>
    <row r="5203" spans="1:6" ht="15.75" thickBot="1" x14ac:dyDescent="0.3">
      <c r="A5203" s="32" t="s">
        <v>501</v>
      </c>
      <c r="B5203" s="32" t="s">
        <v>490</v>
      </c>
      <c r="C5203" s="32" t="s">
        <v>27</v>
      </c>
      <c r="D5203" s="6" t="s">
        <v>28</v>
      </c>
      <c r="E5203" s="6" t="s">
        <v>262</v>
      </c>
      <c r="F5203" s="6"/>
    </row>
    <row r="5204" spans="1:6" ht="15.75" thickBot="1" x14ac:dyDescent="0.3">
      <c r="A5204" s="35" t="s">
        <v>31</v>
      </c>
      <c r="B5204" s="7" t="s">
        <v>32</v>
      </c>
      <c r="C5204" s="15">
        <v>45474</v>
      </c>
      <c r="D5204" s="35" t="s">
        <v>33</v>
      </c>
      <c r="E5204" s="7" t="s">
        <v>34</v>
      </c>
      <c r="F5204" s="6"/>
    </row>
    <row r="5205" spans="1:6" ht="15.75" thickBot="1" x14ac:dyDescent="0.3">
      <c r="A5205" s="36"/>
      <c r="B5205" s="7" t="s">
        <v>36</v>
      </c>
      <c r="C5205" s="5">
        <f>IF(C5204="","",IF(AND(MONTH(C5204)&gt;=1,MONTH(C5204)&lt;=3),1,IF(AND(MONTH(C5204)&gt;=4,MONTH(C5204)&lt;=6),2,IF(AND(MONTH(C5204)&gt;=7,MONTH(C5204)&lt;=9),3,4))))</f>
        <v>3</v>
      </c>
      <c r="D5205" s="36"/>
      <c r="E5205" s="7" t="s">
        <v>37</v>
      </c>
      <c r="F5205" s="6"/>
    </row>
    <row r="5206" spans="1:6" ht="15.75" thickBot="1" x14ac:dyDescent="0.3">
      <c r="A5206" s="36"/>
      <c r="B5206" s="7" t="s">
        <v>39</v>
      </c>
      <c r="C5206" s="15">
        <v>45565</v>
      </c>
      <c r="D5206" s="36"/>
      <c r="E5206" s="7" t="s">
        <v>40</v>
      </c>
      <c r="F5206" s="6"/>
    </row>
    <row r="5207" spans="1:6" ht="15.75" thickBot="1" x14ac:dyDescent="0.3">
      <c r="A5207" s="36"/>
      <c r="B5207" s="7" t="s">
        <v>36</v>
      </c>
      <c r="C5207" s="5">
        <f>IF(C5206="","",IF(AND(MONTH(C5206)&gt;=1,MONTH(C5206)&lt;=3),1,IF(AND(MONTH(C5206)&gt;=4,MONTH(C5206)&lt;=6),2,IF(AND(MONTH(C5206)&gt;=7,MONTH(C5206)&lt;=9),3,4))))</f>
        <v>3</v>
      </c>
      <c r="D5207" s="36"/>
      <c r="E5207" s="7" t="s">
        <v>41</v>
      </c>
      <c r="F5207" s="6"/>
    </row>
    <row r="5208" spans="1:6" ht="15.75" thickBot="1" x14ac:dyDescent="0.3">
      <c r="A5208" s="40"/>
      <c r="B5208" s="40"/>
      <c r="C5208" s="40"/>
      <c r="D5208" s="40"/>
      <c r="E5208" s="40"/>
      <c r="F5208" s="40"/>
    </row>
    <row r="5209" spans="1:6" ht="15.75" thickBot="1" x14ac:dyDescent="0.3">
      <c r="A5209" s="12" t="s">
        <v>42</v>
      </c>
      <c r="B5209" s="12" t="s">
        <v>43</v>
      </c>
      <c r="C5209" s="12" t="s">
        <v>44</v>
      </c>
      <c r="D5209" s="12" t="s">
        <v>45</v>
      </c>
      <c r="E5209" s="12" t="s">
        <v>46</v>
      </c>
      <c r="F5209" s="12" t="s">
        <v>47</v>
      </c>
    </row>
    <row r="5210" spans="1:6" x14ac:dyDescent="0.25">
      <c r="A5210" s="8">
        <v>14111514</v>
      </c>
      <c r="B5210" s="9" t="str">
        <f t="shared" ref="B5210:B5220" ca="1" si="96">IFERROR(INDEX(UNSPSCDes,MATCH(INDIRECT(ADDRESS(ROW(),COLUMN()-1,4)),UNSPSCCode,0)),"")</f>
        <v>Blocs o cuadernos de papel</v>
      </c>
      <c r="C5210" s="33" t="s">
        <v>55</v>
      </c>
      <c r="D5210" s="8">
        <v>2400</v>
      </c>
      <c r="E5210" s="11">
        <v>92.04</v>
      </c>
      <c r="F5210" s="10">
        <f t="shared" ref="F5210:F5220" ca="1" si="97">INDIRECT(ADDRESS(ROW(),COLUMN()-2,4))*INDIRECT(ADDRESS(ROW(),COLUMN()-1,4))</f>
        <v>220896.00000000003</v>
      </c>
    </row>
    <row r="5211" spans="1:6" x14ac:dyDescent="0.25">
      <c r="A5211" s="8">
        <v>44121706</v>
      </c>
      <c r="B5211" s="9" t="str">
        <f t="shared" ca="1" si="96"/>
        <v>Lápices de madera</v>
      </c>
      <c r="C5211" s="33" t="s">
        <v>49</v>
      </c>
      <c r="D5211" s="8">
        <v>100</v>
      </c>
      <c r="E5211" s="11">
        <v>88.6</v>
      </c>
      <c r="F5211" s="10">
        <f t="shared" ca="1" si="97"/>
        <v>8860</v>
      </c>
    </row>
    <row r="5212" spans="1:6" x14ac:dyDescent="0.25">
      <c r="A5212" s="8">
        <v>44121701</v>
      </c>
      <c r="B5212" s="9" t="str">
        <f t="shared" ca="1" si="96"/>
        <v>Bolígrafos</v>
      </c>
      <c r="C5212" s="33" t="s">
        <v>49</v>
      </c>
      <c r="D5212" s="8">
        <v>100</v>
      </c>
      <c r="E5212" s="11">
        <v>109.84</v>
      </c>
      <c r="F5212" s="10">
        <f t="shared" ca="1" si="97"/>
        <v>10984</v>
      </c>
    </row>
    <row r="5213" spans="1:6" x14ac:dyDescent="0.25">
      <c r="A5213" s="8">
        <v>53121603</v>
      </c>
      <c r="B5213" s="9" t="str">
        <f t="shared" ca="1" si="96"/>
        <v>Morrales</v>
      </c>
      <c r="C5213" s="33" t="s">
        <v>55</v>
      </c>
      <c r="D5213" s="8">
        <v>600</v>
      </c>
      <c r="E5213" s="11">
        <v>973.5</v>
      </c>
      <c r="F5213" s="10">
        <f t="shared" ca="1" si="97"/>
        <v>584100</v>
      </c>
    </row>
    <row r="5214" spans="1:6" x14ac:dyDescent="0.25">
      <c r="A5214" s="8">
        <v>44121804</v>
      </c>
      <c r="B5214" s="9" t="str">
        <f t="shared" ca="1" si="96"/>
        <v>Borradores</v>
      </c>
      <c r="C5214" s="33" t="s">
        <v>55</v>
      </c>
      <c r="D5214" s="8">
        <v>600</v>
      </c>
      <c r="E5214" s="11">
        <v>51.92</v>
      </c>
      <c r="F5214" s="10">
        <f t="shared" ca="1" si="97"/>
        <v>31152</v>
      </c>
    </row>
    <row r="5215" spans="1:6" x14ac:dyDescent="0.25">
      <c r="A5215" s="8">
        <v>44121619</v>
      </c>
      <c r="B5215" s="9" t="str">
        <f t="shared" ca="1" si="96"/>
        <v>Tajalápices manuales</v>
      </c>
      <c r="C5215" s="33" t="s">
        <v>55</v>
      </c>
      <c r="D5215" s="8">
        <v>600</v>
      </c>
      <c r="E5215" s="11">
        <v>23.6</v>
      </c>
      <c r="F5215" s="10">
        <f t="shared" ca="1" si="97"/>
        <v>14160</v>
      </c>
    </row>
    <row r="5216" spans="1:6" x14ac:dyDescent="0.25">
      <c r="A5216" s="8">
        <v>44111509</v>
      </c>
      <c r="B5216" s="9" t="str">
        <f t="shared" ca="1" si="96"/>
        <v>Sujetadores de esferos o lápices</v>
      </c>
      <c r="C5216" s="33" t="s">
        <v>55</v>
      </c>
      <c r="D5216" s="8">
        <v>600</v>
      </c>
      <c r="E5216" s="11">
        <v>135.69999999999999</v>
      </c>
      <c r="F5216" s="10">
        <f t="shared" ca="1" si="97"/>
        <v>81420</v>
      </c>
    </row>
    <row r="5217" spans="1:6" x14ac:dyDescent="0.25">
      <c r="A5217" s="8">
        <v>52152002</v>
      </c>
      <c r="B5217" s="9" t="str">
        <f t="shared" ca="1" si="96"/>
        <v>Contenedores para almacenar alimentos para uso doméstico</v>
      </c>
      <c r="C5217" s="33" t="s">
        <v>55</v>
      </c>
      <c r="D5217" s="8">
        <v>600</v>
      </c>
      <c r="E5217" s="11">
        <v>722.75</v>
      </c>
      <c r="F5217" s="10">
        <f t="shared" ca="1" si="97"/>
        <v>433650</v>
      </c>
    </row>
    <row r="5218" spans="1:6" x14ac:dyDescent="0.25">
      <c r="A5218" s="8">
        <v>44111803</v>
      </c>
      <c r="B5218" s="9" t="str">
        <f t="shared" ca="1" si="96"/>
        <v>Compases</v>
      </c>
      <c r="C5218" s="33" t="s">
        <v>55</v>
      </c>
      <c r="D5218" s="8">
        <v>600</v>
      </c>
      <c r="E5218" s="11">
        <v>45.78</v>
      </c>
      <c r="F5218" s="10">
        <f t="shared" ca="1" si="97"/>
        <v>27468</v>
      </c>
    </row>
    <row r="5219" spans="1:6" x14ac:dyDescent="0.25">
      <c r="A5219" s="8">
        <v>44111812</v>
      </c>
      <c r="B5219" s="9" t="str">
        <f t="shared" ca="1" si="96"/>
        <v>Kits o sets de dibujo</v>
      </c>
      <c r="C5219" s="33" t="s">
        <v>55</v>
      </c>
      <c r="D5219" s="8">
        <v>600</v>
      </c>
      <c r="E5219" s="11">
        <v>37.909999999999997</v>
      </c>
      <c r="F5219" s="10">
        <f t="shared" ca="1" si="97"/>
        <v>22745.999999999996</v>
      </c>
    </row>
    <row r="5220" spans="1:6" x14ac:dyDescent="0.25">
      <c r="A5220" s="8">
        <v>44121707</v>
      </c>
      <c r="B5220" s="9" t="str">
        <f t="shared" ca="1" si="96"/>
        <v>Lápices de colores</v>
      </c>
      <c r="C5220" s="33" t="s">
        <v>49</v>
      </c>
      <c r="D5220" s="8">
        <v>600</v>
      </c>
      <c r="E5220" s="11">
        <v>107.43</v>
      </c>
      <c r="F5220" s="10">
        <f t="shared" ca="1" si="97"/>
        <v>64458.000000000007</v>
      </c>
    </row>
    <row r="5221" spans="1:6" x14ac:dyDescent="0.25">
      <c r="A5221" s="40"/>
      <c r="B5221" s="40"/>
      <c r="C5221" s="40"/>
      <c r="D5221" s="40"/>
      <c r="E5221" s="13" t="s">
        <v>87</v>
      </c>
      <c r="F5221" s="14">
        <f ca="1">SUM(Table3137197[MONTO TOTAL ESTIMADO])</f>
        <v>1499894</v>
      </c>
    </row>
    <row r="5222" spans="1:6" ht="15.75" thickBot="1" x14ac:dyDescent="0.3">
      <c r="A5222" s="42"/>
      <c r="B5222" s="42"/>
      <c r="C5222" s="42"/>
      <c r="D5222" s="42"/>
      <c r="E5222" s="42"/>
      <c r="F5222" s="42"/>
    </row>
    <row r="5223" spans="1:6" ht="23.25" thickBot="1" x14ac:dyDescent="0.3">
      <c r="A5223" s="4" t="s">
        <v>19</v>
      </c>
      <c r="B5223" s="4" t="s">
        <v>20</v>
      </c>
      <c r="C5223" s="4" t="s">
        <v>21</v>
      </c>
      <c r="D5223" s="4" t="s">
        <v>22</v>
      </c>
      <c r="E5223" s="4" t="s">
        <v>23</v>
      </c>
      <c r="F5223" s="4" t="s">
        <v>24</v>
      </c>
    </row>
    <row r="5224" spans="1:6" ht="15.75" thickBot="1" x14ac:dyDescent="0.3">
      <c r="A5224" s="32" t="s">
        <v>502</v>
      </c>
      <c r="B5224" s="32" t="s">
        <v>503</v>
      </c>
      <c r="C5224" s="32" t="s">
        <v>27</v>
      </c>
      <c r="D5224" s="6" t="s">
        <v>188</v>
      </c>
      <c r="E5224" s="6" t="s">
        <v>262</v>
      </c>
      <c r="F5224" s="6"/>
    </row>
    <row r="5225" spans="1:6" ht="15.75" thickBot="1" x14ac:dyDescent="0.3">
      <c r="A5225" s="35" t="s">
        <v>31</v>
      </c>
      <c r="B5225" s="7" t="s">
        <v>32</v>
      </c>
      <c r="C5225" s="15">
        <v>45474</v>
      </c>
      <c r="D5225" s="35" t="s">
        <v>33</v>
      </c>
      <c r="E5225" s="7" t="s">
        <v>34</v>
      </c>
      <c r="F5225" s="6"/>
    </row>
    <row r="5226" spans="1:6" ht="15.75" thickBot="1" x14ac:dyDescent="0.3">
      <c r="A5226" s="36"/>
      <c r="B5226" s="7" t="s">
        <v>36</v>
      </c>
      <c r="C5226" s="5">
        <f>IF(C5225="","",IF(AND(MONTH(C5225)&gt;=1,MONTH(C5225)&lt;=3),1,IF(AND(MONTH(C5225)&gt;=4,MONTH(C5225)&lt;=6),2,IF(AND(MONTH(C5225)&gt;=7,MONTH(C5225)&lt;=9),3,4))))</f>
        <v>3</v>
      </c>
      <c r="D5226" s="36"/>
      <c r="E5226" s="7" t="s">
        <v>37</v>
      </c>
      <c r="F5226" s="6"/>
    </row>
    <row r="5227" spans="1:6" ht="15.75" thickBot="1" x14ac:dyDescent="0.3">
      <c r="A5227" s="36"/>
      <c r="B5227" s="7" t="s">
        <v>39</v>
      </c>
      <c r="C5227" s="15">
        <v>45565</v>
      </c>
      <c r="D5227" s="36"/>
      <c r="E5227" s="7" t="s">
        <v>40</v>
      </c>
      <c r="F5227" s="6"/>
    </row>
    <row r="5228" spans="1:6" ht="15.75" thickBot="1" x14ac:dyDescent="0.3">
      <c r="A5228" s="36"/>
      <c r="B5228" s="7" t="s">
        <v>36</v>
      </c>
      <c r="C5228" s="5">
        <f>IF(C5227="","",IF(AND(MONTH(C5227)&gt;=1,MONTH(C5227)&lt;=3),1,IF(AND(MONTH(C5227)&gt;=4,MONTH(C5227)&lt;=6),2,IF(AND(MONTH(C5227)&gt;=7,MONTH(C5227)&lt;=9),3,4))))</f>
        <v>3</v>
      </c>
      <c r="D5228" s="36"/>
      <c r="E5228" s="7" t="s">
        <v>41</v>
      </c>
      <c r="F5228" s="6"/>
    </row>
    <row r="5229" spans="1:6" ht="15.75" thickBot="1" x14ac:dyDescent="0.3">
      <c r="A5229" s="40"/>
      <c r="B5229" s="40"/>
      <c r="C5229" s="40"/>
      <c r="D5229" s="40"/>
      <c r="E5229" s="40"/>
      <c r="F5229" s="40"/>
    </row>
    <row r="5230" spans="1:6" ht="15.75" thickBot="1" x14ac:dyDescent="0.3">
      <c r="A5230" s="12" t="s">
        <v>42</v>
      </c>
      <c r="B5230" s="12" t="s">
        <v>43</v>
      </c>
      <c r="C5230" s="12" t="s">
        <v>44</v>
      </c>
      <c r="D5230" s="12" t="s">
        <v>45</v>
      </c>
      <c r="E5230" s="12" t="s">
        <v>46</v>
      </c>
      <c r="F5230" s="12" t="s">
        <v>47</v>
      </c>
    </row>
    <row r="5231" spans="1:6" x14ac:dyDescent="0.25">
      <c r="A5231" s="8">
        <v>52131501</v>
      </c>
      <c r="B5231" s="9" t="str">
        <f ca="1">IFERROR(INDEX(UNSPSCDes,MATCH(INDIRECT(ADDRESS(ROW(),COLUMN()-1,4)),UNSPSCCode,0)),"")</f>
        <v>Cortinas</v>
      </c>
      <c r="C5231" s="33" t="s">
        <v>55</v>
      </c>
      <c r="D5231" s="8">
        <v>4</v>
      </c>
      <c r="E5231" s="11">
        <v>22000</v>
      </c>
      <c r="F5231" s="10">
        <f ca="1">INDIRECT(ADDRESS(ROW(),COLUMN()-2,4))*INDIRECT(ADDRESS(ROW(),COLUMN()-1,4))</f>
        <v>88000</v>
      </c>
    </row>
    <row r="5232" spans="1:6" x14ac:dyDescent="0.25">
      <c r="A5232" s="40"/>
      <c r="B5232" s="40"/>
      <c r="C5232" s="40"/>
      <c r="D5232" s="40"/>
      <c r="E5232" s="13" t="s">
        <v>87</v>
      </c>
      <c r="F5232" s="14">
        <f ca="1">SUM(Table3138198[MONTO TOTAL ESTIMADO])</f>
        <v>88000</v>
      </c>
    </row>
    <row r="5233" spans="1:6" ht="15.75" thickBot="1" x14ac:dyDescent="0.3">
      <c r="A5233" s="42"/>
      <c r="B5233" s="42"/>
      <c r="C5233" s="42"/>
      <c r="D5233" s="42"/>
      <c r="E5233" s="42"/>
      <c r="F5233" s="42"/>
    </row>
    <row r="5234" spans="1:6" ht="23.25" thickBot="1" x14ac:dyDescent="0.3">
      <c r="A5234" s="4" t="s">
        <v>19</v>
      </c>
      <c r="B5234" s="4" t="s">
        <v>20</v>
      </c>
      <c r="C5234" s="4" t="s">
        <v>21</v>
      </c>
      <c r="D5234" s="4" t="s">
        <v>22</v>
      </c>
      <c r="E5234" s="4" t="s">
        <v>23</v>
      </c>
      <c r="F5234" s="4" t="s">
        <v>24</v>
      </c>
    </row>
    <row r="5235" spans="1:6" ht="15.75" thickBot="1" x14ac:dyDescent="0.3">
      <c r="A5235" s="32" t="s">
        <v>502</v>
      </c>
      <c r="B5235" s="32" t="s">
        <v>503</v>
      </c>
      <c r="C5235" s="32" t="s">
        <v>27</v>
      </c>
      <c r="D5235" s="6" t="s">
        <v>28</v>
      </c>
      <c r="E5235" s="6" t="s">
        <v>262</v>
      </c>
      <c r="F5235" s="6"/>
    </row>
    <row r="5236" spans="1:6" ht="15.75" thickBot="1" x14ac:dyDescent="0.3">
      <c r="A5236" s="35" t="s">
        <v>31</v>
      </c>
      <c r="B5236" s="7" t="s">
        <v>32</v>
      </c>
      <c r="C5236" s="15">
        <v>45474</v>
      </c>
      <c r="D5236" s="35" t="s">
        <v>33</v>
      </c>
      <c r="E5236" s="7" t="s">
        <v>34</v>
      </c>
      <c r="F5236" s="6"/>
    </row>
    <row r="5237" spans="1:6" ht="15.75" thickBot="1" x14ac:dyDescent="0.3">
      <c r="A5237" s="36"/>
      <c r="B5237" s="7" t="s">
        <v>36</v>
      </c>
      <c r="C5237" s="5">
        <f>IF(C5236="","",IF(AND(MONTH(C5236)&gt;=1,MONTH(C5236)&lt;=3),1,IF(AND(MONTH(C5236)&gt;=4,MONTH(C5236)&lt;=6),2,IF(AND(MONTH(C5236)&gt;=7,MONTH(C5236)&lt;=9),3,4))))</f>
        <v>3</v>
      </c>
      <c r="D5237" s="36"/>
      <c r="E5237" s="7" t="s">
        <v>37</v>
      </c>
      <c r="F5237" s="6"/>
    </row>
    <row r="5238" spans="1:6" ht="15.75" thickBot="1" x14ac:dyDescent="0.3">
      <c r="A5238" s="36"/>
      <c r="B5238" s="7" t="s">
        <v>39</v>
      </c>
      <c r="C5238" s="15">
        <v>45565</v>
      </c>
      <c r="D5238" s="36"/>
      <c r="E5238" s="7" t="s">
        <v>40</v>
      </c>
      <c r="F5238" s="6"/>
    </row>
    <row r="5239" spans="1:6" ht="15.75" thickBot="1" x14ac:dyDescent="0.3">
      <c r="A5239" s="36"/>
      <c r="B5239" s="7" t="s">
        <v>36</v>
      </c>
      <c r="C5239" s="5">
        <f>IF(C5238="","",IF(AND(MONTH(C5238)&gt;=1,MONTH(C5238)&lt;=3),1,IF(AND(MONTH(C5238)&gt;=4,MONTH(C5238)&lt;=6),2,IF(AND(MONTH(C5238)&gt;=7,MONTH(C5238)&lt;=9),3,4))))</f>
        <v>3</v>
      </c>
      <c r="D5239" s="36"/>
      <c r="E5239" s="7" t="s">
        <v>41</v>
      </c>
      <c r="F5239" s="6"/>
    </row>
    <row r="5240" spans="1:6" ht="15.75" thickBot="1" x14ac:dyDescent="0.3">
      <c r="A5240" s="40"/>
      <c r="B5240" s="40"/>
      <c r="C5240" s="40"/>
      <c r="D5240" s="40"/>
      <c r="E5240" s="40"/>
      <c r="F5240" s="40"/>
    </row>
    <row r="5241" spans="1:6" ht="15.75" thickBot="1" x14ac:dyDescent="0.3">
      <c r="A5241" s="12" t="s">
        <v>42</v>
      </c>
      <c r="B5241" s="12" t="s">
        <v>43</v>
      </c>
      <c r="C5241" s="12" t="s">
        <v>44</v>
      </c>
      <c r="D5241" s="12" t="s">
        <v>45</v>
      </c>
      <c r="E5241" s="12" t="s">
        <v>46</v>
      </c>
      <c r="F5241" s="12" t="s">
        <v>47</v>
      </c>
    </row>
    <row r="5242" spans="1:6" x14ac:dyDescent="0.25">
      <c r="A5242" s="8">
        <v>52131501</v>
      </c>
      <c r="B5242" s="9" t="str">
        <f ca="1">IFERROR(INDEX(UNSPSCDes,MATCH(INDIRECT(ADDRESS(ROW(),COLUMN()-1,4)),UNSPSCCode,0)),"")</f>
        <v>Cortinas</v>
      </c>
      <c r="C5242" s="33" t="s">
        <v>55</v>
      </c>
      <c r="D5242" s="8">
        <v>10</v>
      </c>
      <c r="E5242" s="11">
        <v>22000</v>
      </c>
      <c r="F5242" s="10">
        <f ca="1">INDIRECT(ADDRESS(ROW(),COLUMN()-2,4))*INDIRECT(ADDRESS(ROW(),COLUMN()-1,4))</f>
        <v>220000</v>
      </c>
    </row>
    <row r="5243" spans="1:6" x14ac:dyDescent="0.25">
      <c r="A5243" s="40"/>
      <c r="B5243" s="40"/>
      <c r="C5243" s="40"/>
      <c r="D5243" s="40"/>
      <c r="E5243" s="13" t="s">
        <v>87</v>
      </c>
      <c r="F5243" s="14">
        <f ca="1">SUM(Table3139199[MONTO TOTAL ESTIMADO])</f>
        <v>220000</v>
      </c>
    </row>
    <row r="5244" spans="1:6" ht="15.75" thickBot="1" x14ac:dyDescent="0.3">
      <c r="A5244" s="42"/>
      <c r="B5244" s="42"/>
      <c r="C5244" s="42"/>
      <c r="D5244" s="42"/>
      <c r="E5244" s="42"/>
      <c r="F5244" s="42"/>
    </row>
    <row r="5245" spans="1:6" ht="23.25" thickBot="1" x14ac:dyDescent="0.3">
      <c r="A5245" s="4" t="s">
        <v>19</v>
      </c>
      <c r="B5245" s="4" t="s">
        <v>20</v>
      </c>
      <c r="C5245" s="4" t="s">
        <v>21</v>
      </c>
      <c r="D5245" s="4" t="s">
        <v>22</v>
      </c>
      <c r="E5245" s="4" t="s">
        <v>23</v>
      </c>
      <c r="F5245" s="4" t="s">
        <v>24</v>
      </c>
    </row>
    <row r="5246" spans="1:6" ht="15.75" thickBot="1" x14ac:dyDescent="0.3">
      <c r="A5246" s="32" t="s">
        <v>462</v>
      </c>
      <c r="B5246" s="32" t="s">
        <v>463</v>
      </c>
      <c r="C5246" s="32" t="s">
        <v>27</v>
      </c>
      <c r="D5246" s="6" t="s">
        <v>28</v>
      </c>
      <c r="E5246" s="6" t="s">
        <v>262</v>
      </c>
      <c r="F5246" s="6"/>
    </row>
    <row r="5247" spans="1:6" ht="15.75" thickBot="1" x14ac:dyDescent="0.3">
      <c r="A5247" s="35" t="s">
        <v>31</v>
      </c>
      <c r="B5247" s="7" t="s">
        <v>32</v>
      </c>
      <c r="C5247" s="15">
        <v>45474</v>
      </c>
      <c r="D5247" s="35" t="s">
        <v>33</v>
      </c>
      <c r="E5247" s="7" t="s">
        <v>34</v>
      </c>
      <c r="F5247" s="6"/>
    </row>
    <row r="5248" spans="1:6" ht="15.75" thickBot="1" x14ac:dyDescent="0.3">
      <c r="A5248" s="36"/>
      <c r="B5248" s="7" t="s">
        <v>36</v>
      </c>
      <c r="C5248" s="5">
        <f>IF(C5247="","",IF(AND(MONTH(C5247)&gt;=1,MONTH(C5247)&lt;=3),1,IF(AND(MONTH(C5247)&gt;=4,MONTH(C5247)&lt;=6),2,IF(AND(MONTH(C5247)&gt;=7,MONTH(C5247)&lt;=9),3,4))))</f>
        <v>3</v>
      </c>
      <c r="D5248" s="36"/>
      <c r="E5248" s="7" t="s">
        <v>37</v>
      </c>
      <c r="F5248" s="6"/>
    </row>
    <row r="5249" spans="1:6" ht="15.75" thickBot="1" x14ac:dyDescent="0.3">
      <c r="A5249" s="36"/>
      <c r="B5249" s="7" t="s">
        <v>39</v>
      </c>
      <c r="C5249" s="15">
        <v>45565</v>
      </c>
      <c r="D5249" s="36"/>
      <c r="E5249" s="7" t="s">
        <v>40</v>
      </c>
      <c r="F5249" s="6"/>
    </row>
    <row r="5250" spans="1:6" ht="15.75" thickBot="1" x14ac:dyDescent="0.3">
      <c r="A5250" s="36"/>
      <c r="B5250" s="7" t="s">
        <v>36</v>
      </c>
      <c r="C5250" s="5">
        <f>IF(C5249="","",IF(AND(MONTH(C5249)&gt;=1,MONTH(C5249)&lt;=3),1,IF(AND(MONTH(C5249)&gt;=4,MONTH(C5249)&lt;=6),2,IF(AND(MONTH(C5249)&gt;=7,MONTH(C5249)&lt;=9),3,4))))</f>
        <v>3</v>
      </c>
      <c r="D5250" s="36"/>
      <c r="E5250" s="7" t="s">
        <v>41</v>
      </c>
      <c r="F5250" s="6"/>
    </row>
    <row r="5251" spans="1:6" ht="15.75" thickBot="1" x14ac:dyDescent="0.3">
      <c r="A5251" s="40"/>
      <c r="B5251" s="40"/>
      <c r="C5251" s="40"/>
      <c r="D5251" s="40"/>
      <c r="E5251" s="40"/>
      <c r="F5251" s="40"/>
    </row>
    <row r="5252" spans="1:6" ht="15.75" thickBot="1" x14ac:dyDescent="0.3">
      <c r="A5252" s="12" t="s">
        <v>42</v>
      </c>
      <c r="B5252" s="12" t="s">
        <v>43</v>
      </c>
      <c r="C5252" s="12" t="s">
        <v>44</v>
      </c>
      <c r="D5252" s="12" t="s">
        <v>45</v>
      </c>
      <c r="E5252" s="12" t="s">
        <v>46</v>
      </c>
      <c r="F5252" s="12" t="s">
        <v>47</v>
      </c>
    </row>
    <row r="5253" spans="1:6" x14ac:dyDescent="0.25">
      <c r="A5253" s="8">
        <v>50161509</v>
      </c>
      <c r="B5253" s="9" t="str">
        <f t="shared" ref="B5253:B5266" ca="1" si="98">IFERROR(INDEX(UNSPSCDes,MATCH(INDIRECT(ADDRESS(ROW(),COLUMN()-1,4)),UNSPSCCode,0)),"")</f>
        <v>Azucares naturales o productos endulzantes</v>
      </c>
      <c r="C5253" s="33" t="s">
        <v>74</v>
      </c>
      <c r="D5253" s="8">
        <v>500</v>
      </c>
      <c r="E5253" s="11">
        <v>83.78</v>
      </c>
      <c r="F5253" s="10">
        <f t="shared" ref="F5253:F5266" ca="1" si="99">INDIRECT(ADDRESS(ROW(),COLUMN()-2,4))*INDIRECT(ADDRESS(ROW(),COLUMN()-1,4))</f>
        <v>41890</v>
      </c>
    </row>
    <row r="5254" spans="1:6" x14ac:dyDescent="0.25">
      <c r="A5254" s="8">
        <v>50221101</v>
      </c>
      <c r="B5254" s="9" t="str">
        <f t="shared" ca="1" si="98"/>
        <v>Grano de cereal</v>
      </c>
      <c r="C5254" s="33" t="s">
        <v>74</v>
      </c>
      <c r="D5254" s="8">
        <v>500</v>
      </c>
      <c r="E5254" s="11">
        <v>231.38</v>
      </c>
      <c r="F5254" s="10">
        <f t="shared" ca="1" si="99"/>
        <v>115690</v>
      </c>
    </row>
    <row r="5255" spans="1:6" x14ac:dyDescent="0.25">
      <c r="A5255" s="8">
        <v>50151513</v>
      </c>
      <c r="B5255" s="9" t="str">
        <f t="shared" ca="1" si="98"/>
        <v>Aceites vegetales o  de planta comestibles</v>
      </c>
      <c r="C5255" s="33" t="s">
        <v>55</v>
      </c>
      <c r="D5255" s="8">
        <v>500</v>
      </c>
      <c r="E5255" s="11">
        <v>132.16</v>
      </c>
      <c r="F5255" s="10">
        <f t="shared" ca="1" si="99"/>
        <v>66080</v>
      </c>
    </row>
    <row r="5256" spans="1:6" x14ac:dyDescent="0.25">
      <c r="A5256" s="8">
        <v>50192111</v>
      </c>
      <c r="B5256" s="9" t="str">
        <f t="shared" ca="1" si="98"/>
        <v>Carne seca o procesada</v>
      </c>
      <c r="C5256" s="33" t="s">
        <v>55</v>
      </c>
      <c r="D5256" s="8">
        <v>500</v>
      </c>
      <c r="E5256" s="11">
        <v>619.5</v>
      </c>
      <c r="F5256" s="10">
        <f t="shared" ca="1" si="99"/>
        <v>309750</v>
      </c>
    </row>
    <row r="5257" spans="1:6" x14ac:dyDescent="0.25">
      <c r="A5257" s="8">
        <v>50201706</v>
      </c>
      <c r="B5257" s="9" t="str">
        <f t="shared" ca="1" si="98"/>
        <v>Café</v>
      </c>
      <c r="C5257" s="33" t="s">
        <v>74</v>
      </c>
      <c r="D5257" s="8">
        <v>500</v>
      </c>
      <c r="E5257" s="11">
        <v>188.8</v>
      </c>
      <c r="F5257" s="10">
        <f t="shared" ca="1" si="99"/>
        <v>94400</v>
      </c>
    </row>
    <row r="5258" spans="1:6" x14ac:dyDescent="0.25">
      <c r="A5258" s="8">
        <v>50171831</v>
      </c>
      <c r="B5258" s="9" t="str">
        <f t="shared" ca="1" si="98"/>
        <v>Salsas para cocinar</v>
      </c>
      <c r="C5258" s="33" t="s">
        <v>55</v>
      </c>
      <c r="D5258" s="8">
        <v>500</v>
      </c>
      <c r="E5258" s="11">
        <v>105.2</v>
      </c>
      <c r="F5258" s="10">
        <f t="shared" ca="1" si="99"/>
        <v>52600</v>
      </c>
    </row>
    <row r="5259" spans="1:6" x14ac:dyDescent="0.25">
      <c r="A5259" s="8">
        <v>50121538</v>
      </c>
      <c r="B5259" s="9" t="str">
        <f t="shared" ca="1" si="98"/>
        <v>Pescado almacenado en repisa</v>
      </c>
      <c r="C5259" s="33" t="s">
        <v>55</v>
      </c>
      <c r="D5259" s="8">
        <v>500</v>
      </c>
      <c r="E5259" s="11">
        <v>142.78</v>
      </c>
      <c r="F5259" s="10">
        <f t="shared" ca="1" si="99"/>
        <v>71390</v>
      </c>
    </row>
    <row r="5260" spans="1:6" x14ac:dyDescent="0.25">
      <c r="A5260" s="8">
        <v>50192902</v>
      </c>
      <c r="B5260" s="9" t="str">
        <f t="shared" ca="1" si="98"/>
        <v>Pasta o fideos de repisa</v>
      </c>
      <c r="C5260" s="33" t="s">
        <v>55</v>
      </c>
      <c r="D5260" s="8">
        <v>500</v>
      </c>
      <c r="E5260" s="11">
        <v>48.38</v>
      </c>
      <c r="F5260" s="10">
        <f t="shared" ca="1" si="99"/>
        <v>24190</v>
      </c>
    </row>
    <row r="5261" spans="1:6" x14ac:dyDescent="0.25">
      <c r="A5261" s="8">
        <v>50101543</v>
      </c>
      <c r="B5261" s="9" t="str">
        <f t="shared" ca="1" si="98"/>
        <v>Judías secas</v>
      </c>
      <c r="C5261" s="33" t="s">
        <v>55</v>
      </c>
      <c r="D5261" s="8">
        <v>500</v>
      </c>
      <c r="E5261" s="11">
        <v>178.18</v>
      </c>
      <c r="F5261" s="10">
        <f t="shared" ca="1" si="99"/>
        <v>89090</v>
      </c>
    </row>
    <row r="5262" spans="1:6" x14ac:dyDescent="0.25">
      <c r="A5262" s="8">
        <v>50131701</v>
      </c>
      <c r="B5262" s="9" t="str">
        <f t="shared" ca="1" si="98"/>
        <v>Productos de leche o mantequilla frescos</v>
      </c>
      <c r="C5262" s="33" t="s">
        <v>55</v>
      </c>
      <c r="D5262" s="8">
        <v>500</v>
      </c>
      <c r="E5262" s="11">
        <v>384.68</v>
      </c>
      <c r="F5262" s="10">
        <f t="shared" ca="1" si="99"/>
        <v>192340</v>
      </c>
    </row>
    <row r="5263" spans="1:6" x14ac:dyDescent="0.25">
      <c r="A5263" s="8">
        <v>50121538</v>
      </c>
      <c r="B5263" s="9" t="str">
        <f t="shared" ca="1" si="98"/>
        <v>Pescado almacenado en repisa</v>
      </c>
      <c r="C5263" s="33" t="s">
        <v>55</v>
      </c>
      <c r="D5263" s="8">
        <v>500</v>
      </c>
      <c r="E5263" s="11">
        <v>148.68</v>
      </c>
      <c r="F5263" s="10">
        <f t="shared" ca="1" si="99"/>
        <v>74340</v>
      </c>
    </row>
    <row r="5264" spans="1:6" x14ac:dyDescent="0.25">
      <c r="A5264" s="8">
        <v>50101542</v>
      </c>
      <c r="B5264" s="9" t="str">
        <f t="shared" ca="1" si="98"/>
        <v>Harina vegetal</v>
      </c>
      <c r="C5264" s="33" t="s">
        <v>55</v>
      </c>
      <c r="D5264" s="8">
        <v>500</v>
      </c>
      <c r="E5264" s="11">
        <v>34.22</v>
      </c>
      <c r="F5264" s="10">
        <f t="shared" ca="1" si="99"/>
        <v>17110</v>
      </c>
    </row>
    <row r="5265" spans="1:6" x14ac:dyDescent="0.25">
      <c r="A5265" s="8">
        <v>50161511</v>
      </c>
      <c r="B5265" s="9" t="str">
        <f t="shared" ca="1" si="98"/>
        <v>Chocolate o sustituto de chocolate</v>
      </c>
      <c r="C5265" s="33" t="s">
        <v>55</v>
      </c>
      <c r="D5265" s="8">
        <v>500</v>
      </c>
      <c r="E5265" s="11">
        <v>112.1</v>
      </c>
      <c r="F5265" s="10">
        <f t="shared" ca="1" si="99"/>
        <v>56050</v>
      </c>
    </row>
    <row r="5266" spans="1:6" x14ac:dyDescent="0.25">
      <c r="A5266" s="8">
        <v>50221101</v>
      </c>
      <c r="B5266" s="9" t="str">
        <f t="shared" ca="1" si="98"/>
        <v>Grano de cereal</v>
      </c>
      <c r="C5266" s="33" t="s">
        <v>55</v>
      </c>
      <c r="D5266" s="8">
        <v>500</v>
      </c>
      <c r="E5266" s="11">
        <v>113.28</v>
      </c>
      <c r="F5266" s="10">
        <f t="shared" ca="1" si="99"/>
        <v>56640</v>
      </c>
    </row>
    <row r="5267" spans="1:6" x14ac:dyDescent="0.25">
      <c r="A5267" s="40"/>
      <c r="B5267" s="40"/>
      <c r="C5267" s="40"/>
      <c r="D5267" s="40"/>
      <c r="E5267" s="13" t="s">
        <v>87</v>
      </c>
      <c r="F5267" s="14">
        <f ca="1">SUM(Table3140200[MONTO TOTAL ESTIMADO])</f>
        <v>1261560</v>
      </c>
    </row>
    <row r="5268" spans="1:6" ht="15.75" thickBot="1" x14ac:dyDescent="0.3">
      <c r="A5268" s="42"/>
      <c r="B5268" s="42"/>
      <c r="C5268" s="42"/>
      <c r="D5268" s="42"/>
      <c r="E5268" s="42"/>
      <c r="F5268" s="42"/>
    </row>
    <row r="5269" spans="1:6" ht="23.25" thickBot="1" x14ac:dyDescent="0.3">
      <c r="A5269" s="4" t="s">
        <v>19</v>
      </c>
      <c r="B5269" s="4" t="s">
        <v>20</v>
      </c>
      <c r="C5269" s="4" t="s">
        <v>21</v>
      </c>
      <c r="D5269" s="4" t="s">
        <v>22</v>
      </c>
      <c r="E5269" s="4" t="s">
        <v>23</v>
      </c>
      <c r="F5269" s="4" t="s">
        <v>24</v>
      </c>
    </row>
    <row r="5270" spans="1:6" ht="15.75" thickBot="1" x14ac:dyDescent="0.3">
      <c r="A5270" s="32" t="s">
        <v>504</v>
      </c>
      <c r="B5270" s="32" t="s">
        <v>505</v>
      </c>
      <c r="C5270" s="32" t="s">
        <v>129</v>
      </c>
      <c r="D5270" s="6" t="s">
        <v>28</v>
      </c>
      <c r="E5270" s="6" t="s">
        <v>262</v>
      </c>
      <c r="F5270" s="6"/>
    </row>
    <row r="5271" spans="1:6" ht="15.75" thickBot="1" x14ac:dyDescent="0.3">
      <c r="A5271" s="35" t="s">
        <v>31</v>
      </c>
      <c r="B5271" s="7" t="s">
        <v>32</v>
      </c>
      <c r="C5271" s="15">
        <v>45474</v>
      </c>
      <c r="D5271" s="35" t="s">
        <v>33</v>
      </c>
      <c r="E5271" s="7" t="s">
        <v>34</v>
      </c>
      <c r="F5271" s="6"/>
    </row>
    <row r="5272" spans="1:6" ht="15.75" thickBot="1" x14ac:dyDescent="0.3">
      <c r="A5272" s="36"/>
      <c r="B5272" s="7" t="s">
        <v>36</v>
      </c>
      <c r="C5272" s="5">
        <f>IF(C5271="","",IF(AND(MONTH(C5271)&gt;=1,MONTH(C5271)&lt;=3),1,IF(AND(MONTH(C5271)&gt;=4,MONTH(C5271)&lt;=6),2,IF(AND(MONTH(C5271)&gt;=7,MONTH(C5271)&lt;=9),3,4))))</f>
        <v>3</v>
      </c>
      <c r="D5272" s="36"/>
      <c r="E5272" s="7" t="s">
        <v>37</v>
      </c>
      <c r="F5272" s="6"/>
    </row>
    <row r="5273" spans="1:6" ht="15.75" thickBot="1" x14ac:dyDescent="0.3">
      <c r="A5273" s="36"/>
      <c r="B5273" s="7" t="s">
        <v>39</v>
      </c>
      <c r="C5273" s="15">
        <v>45565</v>
      </c>
      <c r="D5273" s="36"/>
      <c r="E5273" s="7" t="s">
        <v>40</v>
      </c>
      <c r="F5273" s="6"/>
    </row>
    <row r="5274" spans="1:6" ht="15.75" thickBot="1" x14ac:dyDescent="0.3">
      <c r="A5274" s="36"/>
      <c r="B5274" s="7" t="s">
        <v>36</v>
      </c>
      <c r="C5274" s="5">
        <f>IF(C5273="","",IF(AND(MONTH(C5273)&gt;=1,MONTH(C5273)&lt;=3),1,IF(AND(MONTH(C5273)&gt;=4,MONTH(C5273)&lt;=6),2,IF(AND(MONTH(C5273)&gt;=7,MONTH(C5273)&lt;=9),3,4))))</f>
        <v>3</v>
      </c>
      <c r="D5274" s="36"/>
      <c r="E5274" s="7" t="s">
        <v>41</v>
      </c>
      <c r="F5274" s="6"/>
    </row>
    <row r="5275" spans="1:6" ht="15.75" thickBot="1" x14ac:dyDescent="0.3">
      <c r="A5275" s="40"/>
      <c r="B5275" s="40"/>
      <c r="C5275" s="40"/>
      <c r="D5275" s="40"/>
      <c r="E5275" s="40"/>
      <c r="F5275" s="40"/>
    </row>
    <row r="5276" spans="1:6" ht="15.75" thickBot="1" x14ac:dyDescent="0.3">
      <c r="A5276" s="12" t="s">
        <v>42</v>
      </c>
      <c r="B5276" s="12" t="s">
        <v>43</v>
      </c>
      <c r="C5276" s="12" t="s">
        <v>44</v>
      </c>
      <c r="D5276" s="12" t="s">
        <v>45</v>
      </c>
      <c r="E5276" s="12" t="s">
        <v>46</v>
      </c>
      <c r="F5276" s="12" t="s">
        <v>47</v>
      </c>
    </row>
    <row r="5277" spans="1:6" x14ac:dyDescent="0.25">
      <c r="A5277" s="8">
        <v>90121502</v>
      </c>
      <c r="B5277" s="9" t="str">
        <f ca="1">IFERROR(INDEX(UNSPSCDes,MATCH(INDIRECT(ADDRESS(ROW(),COLUMN()-1,4)),UNSPSCCode,0)),"")</f>
        <v>Agencias de viajes</v>
      </c>
      <c r="C5277" s="33" t="s">
        <v>55</v>
      </c>
      <c r="D5277" s="8">
        <v>1</v>
      </c>
      <c r="E5277" s="11">
        <v>950000</v>
      </c>
      <c r="F5277" s="10">
        <f ca="1">INDIRECT(ADDRESS(ROW(),COLUMN()-2,4))*INDIRECT(ADDRESS(ROW(),COLUMN()-1,4))</f>
        <v>950000</v>
      </c>
    </row>
    <row r="5278" spans="1:6" x14ac:dyDescent="0.25">
      <c r="A5278" s="8">
        <v>80141607</v>
      </c>
      <c r="B5278" s="9" t="str">
        <f ca="1">IFERROR(INDEX(UNSPSCDes,MATCH(INDIRECT(ADDRESS(ROW(),COLUMN()-1,4)),UNSPSCCode,0)),"")</f>
        <v>Gestión de eventos</v>
      </c>
      <c r="C5278" s="33" t="s">
        <v>55</v>
      </c>
      <c r="D5278" s="8">
        <v>1</v>
      </c>
      <c r="E5278" s="11">
        <v>800000</v>
      </c>
      <c r="F5278" s="10">
        <f ca="1">INDIRECT(ADDRESS(ROW(),COLUMN()-2,4))*INDIRECT(ADDRESS(ROW(),COLUMN()-1,4))</f>
        <v>800000</v>
      </c>
    </row>
    <row r="5279" spans="1:6" x14ac:dyDescent="0.25">
      <c r="A5279" s="40"/>
      <c r="B5279" s="40"/>
      <c r="C5279" s="40"/>
      <c r="D5279" s="40"/>
      <c r="E5279" s="13" t="s">
        <v>87</v>
      </c>
      <c r="F5279" s="14">
        <f ca="1">SUM(Table3141201[MONTO TOTAL ESTIMADO])</f>
        <v>1750000</v>
      </c>
    </row>
    <row r="5280" spans="1:6" ht="15.75" thickBot="1" x14ac:dyDescent="0.3">
      <c r="A5280" s="42"/>
      <c r="B5280" s="42"/>
      <c r="C5280" s="42"/>
      <c r="D5280" s="42"/>
      <c r="E5280" s="42"/>
      <c r="F5280" s="42"/>
    </row>
    <row r="5281" spans="1:6" ht="23.25" thickBot="1" x14ac:dyDescent="0.3">
      <c r="A5281" s="4" t="s">
        <v>19</v>
      </c>
      <c r="B5281" s="4" t="s">
        <v>20</v>
      </c>
      <c r="C5281" s="4" t="s">
        <v>21</v>
      </c>
      <c r="D5281" s="4" t="s">
        <v>22</v>
      </c>
      <c r="E5281" s="4" t="s">
        <v>23</v>
      </c>
      <c r="F5281" s="4" t="s">
        <v>24</v>
      </c>
    </row>
    <row r="5282" spans="1:6" ht="15.75" thickBot="1" x14ac:dyDescent="0.3">
      <c r="A5282" s="32" t="s">
        <v>507</v>
      </c>
      <c r="B5282" s="32" t="s">
        <v>508</v>
      </c>
      <c r="C5282" s="32" t="s">
        <v>129</v>
      </c>
      <c r="D5282" s="6" t="s">
        <v>28</v>
      </c>
      <c r="E5282" s="6" t="s">
        <v>262</v>
      </c>
      <c r="F5282" s="6"/>
    </row>
    <row r="5283" spans="1:6" ht="15.75" thickBot="1" x14ac:dyDescent="0.3">
      <c r="A5283" s="35" t="s">
        <v>31</v>
      </c>
      <c r="B5283" s="7" t="s">
        <v>32</v>
      </c>
      <c r="C5283" s="15">
        <v>45474</v>
      </c>
      <c r="D5283" s="35" t="s">
        <v>33</v>
      </c>
      <c r="E5283" s="7" t="s">
        <v>34</v>
      </c>
      <c r="F5283" s="6"/>
    </row>
    <row r="5284" spans="1:6" ht="15.75" thickBot="1" x14ac:dyDescent="0.3">
      <c r="A5284" s="36"/>
      <c r="B5284" s="7" t="s">
        <v>36</v>
      </c>
      <c r="C5284" s="5">
        <f>IF(C5283="","",IF(AND(MONTH(C5283)&gt;=1,MONTH(C5283)&lt;=3),1,IF(AND(MONTH(C5283)&gt;=4,MONTH(C5283)&lt;=6),2,IF(AND(MONTH(C5283)&gt;=7,MONTH(C5283)&lt;=9),3,4))))</f>
        <v>3</v>
      </c>
      <c r="D5284" s="36"/>
      <c r="E5284" s="7" t="s">
        <v>37</v>
      </c>
      <c r="F5284" s="6"/>
    </row>
    <row r="5285" spans="1:6" ht="15.75" thickBot="1" x14ac:dyDescent="0.3">
      <c r="A5285" s="36"/>
      <c r="B5285" s="7" t="s">
        <v>39</v>
      </c>
      <c r="C5285" s="15">
        <v>45565</v>
      </c>
      <c r="D5285" s="36"/>
      <c r="E5285" s="7" t="s">
        <v>40</v>
      </c>
      <c r="F5285" s="6"/>
    </row>
    <row r="5286" spans="1:6" ht="15.75" thickBot="1" x14ac:dyDescent="0.3">
      <c r="A5286" s="36"/>
      <c r="B5286" s="7" t="s">
        <v>36</v>
      </c>
      <c r="C5286" s="5">
        <f>IF(C5285="","",IF(AND(MONTH(C5285)&gt;=1,MONTH(C5285)&lt;=3),1,IF(AND(MONTH(C5285)&gt;=4,MONTH(C5285)&lt;=6),2,IF(AND(MONTH(C5285)&gt;=7,MONTH(C5285)&lt;=9),3,4))))</f>
        <v>3</v>
      </c>
      <c r="D5286" s="36"/>
      <c r="E5286" s="7" t="s">
        <v>41</v>
      </c>
      <c r="F5286" s="6"/>
    </row>
    <row r="5287" spans="1:6" ht="15.75" thickBot="1" x14ac:dyDescent="0.3">
      <c r="A5287" s="40"/>
      <c r="B5287" s="40"/>
      <c r="C5287" s="40"/>
      <c r="D5287" s="40"/>
      <c r="E5287" s="40"/>
      <c r="F5287" s="40"/>
    </row>
    <row r="5288" spans="1:6" ht="15.75" thickBot="1" x14ac:dyDescent="0.3">
      <c r="A5288" s="12" t="s">
        <v>42</v>
      </c>
      <c r="B5288" s="12" t="s">
        <v>43</v>
      </c>
      <c r="C5288" s="12" t="s">
        <v>44</v>
      </c>
      <c r="D5288" s="12" t="s">
        <v>45</v>
      </c>
      <c r="E5288" s="12" t="s">
        <v>46</v>
      </c>
      <c r="F5288" s="12" t="s">
        <v>47</v>
      </c>
    </row>
    <row r="5289" spans="1:6" x14ac:dyDescent="0.25">
      <c r="A5289" s="8">
        <v>80131502</v>
      </c>
      <c r="B5289" s="9" t="str">
        <f ca="1">IFERROR(INDEX(UNSPSCDes,MATCH(INDIRECT(ADDRESS(ROW(),COLUMN()-1,4)),UNSPSCCode,0)),"")</f>
        <v>Arrendamiento de instalaciones comerciales o industriales</v>
      </c>
      <c r="C5289" s="33" t="s">
        <v>55</v>
      </c>
      <c r="D5289" s="8">
        <v>1</v>
      </c>
      <c r="E5289" s="11">
        <v>1750000</v>
      </c>
      <c r="F5289" s="10">
        <f ca="1">INDIRECT(ADDRESS(ROW(),COLUMN()-2,4))*INDIRECT(ADDRESS(ROW(),COLUMN()-1,4))</f>
        <v>1750000</v>
      </c>
    </row>
    <row r="5290" spans="1:6" x14ac:dyDescent="0.25">
      <c r="A5290" s="40"/>
      <c r="B5290" s="40"/>
      <c r="C5290" s="40"/>
      <c r="D5290" s="40"/>
      <c r="E5290" s="13" t="s">
        <v>87</v>
      </c>
      <c r="F5290" s="14">
        <f ca="1">SUM(Table3142202[MONTO TOTAL ESTIMADO])</f>
        <v>1750000</v>
      </c>
    </row>
    <row r="5291" spans="1:6" ht="15.75" thickBot="1" x14ac:dyDescent="0.3">
      <c r="A5291" s="42"/>
      <c r="B5291" s="42"/>
      <c r="C5291" s="42"/>
      <c r="D5291" s="42"/>
      <c r="E5291" s="42"/>
      <c r="F5291" s="42"/>
    </row>
    <row r="5292" spans="1:6" ht="23.25" thickBot="1" x14ac:dyDescent="0.3">
      <c r="A5292" s="4" t="s">
        <v>19</v>
      </c>
      <c r="B5292" s="4" t="s">
        <v>20</v>
      </c>
      <c r="C5292" s="4" t="s">
        <v>21</v>
      </c>
      <c r="D5292" s="4" t="s">
        <v>22</v>
      </c>
      <c r="E5292" s="4" t="s">
        <v>23</v>
      </c>
      <c r="F5292" s="4" t="s">
        <v>24</v>
      </c>
    </row>
    <row r="5293" spans="1:6" ht="15.75" thickBot="1" x14ac:dyDescent="0.3">
      <c r="A5293" s="32" t="s">
        <v>501</v>
      </c>
      <c r="B5293" s="32" t="s">
        <v>490</v>
      </c>
      <c r="C5293" s="32" t="s">
        <v>27</v>
      </c>
      <c r="D5293" s="6" t="s">
        <v>28</v>
      </c>
      <c r="E5293" s="6" t="s">
        <v>262</v>
      </c>
      <c r="F5293" s="6"/>
    </row>
    <row r="5294" spans="1:6" ht="15.75" thickBot="1" x14ac:dyDescent="0.3">
      <c r="A5294" s="35" t="s">
        <v>31</v>
      </c>
      <c r="B5294" s="7" t="s">
        <v>32</v>
      </c>
      <c r="C5294" s="15">
        <v>45474</v>
      </c>
      <c r="D5294" s="35" t="s">
        <v>33</v>
      </c>
      <c r="E5294" s="7" t="s">
        <v>34</v>
      </c>
      <c r="F5294" s="6"/>
    </row>
    <row r="5295" spans="1:6" ht="15.75" thickBot="1" x14ac:dyDescent="0.3">
      <c r="A5295" s="36"/>
      <c r="B5295" s="7" t="s">
        <v>36</v>
      </c>
      <c r="C5295" s="5">
        <f>IF(C5294="","",IF(AND(MONTH(C5294)&gt;=1,MONTH(C5294)&lt;=3),1,IF(AND(MONTH(C5294)&gt;=4,MONTH(C5294)&lt;=6),2,IF(AND(MONTH(C5294)&gt;=7,MONTH(C5294)&lt;=9),3,4))))</f>
        <v>3</v>
      </c>
      <c r="D5295" s="36"/>
      <c r="E5295" s="7" t="s">
        <v>37</v>
      </c>
      <c r="F5295" s="6"/>
    </row>
    <row r="5296" spans="1:6" ht="15.75" thickBot="1" x14ac:dyDescent="0.3">
      <c r="A5296" s="36"/>
      <c r="B5296" s="7" t="s">
        <v>39</v>
      </c>
      <c r="C5296" s="15">
        <v>45565</v>
      </c>
      <c r="D5296" s="36"/>
      <c r="E5296" s="7" t="s">
        <v>40</v>
      </c>
      <c r="F5296" s="6"/>
    </row>
    <row r="5297" spans="1:6" ht="15.75" thickBot="1" x14ac:dyDescent="0.3">
      <c r="A5297" s="36"/>
      <c r="B5297" s="7" t="s">
        <v>36</v>
      </c>
      <c r="C5297" s="5">
        <f>IF(C5296="","",IF(AND(MONTH(C5296)&gt;=1,MONTH(C5296)&lt;=3),1,IF(AND(MONTH(C5296)&gt;=4,MONTH(C5296)&lt;=6),2,IF(AND(MONTH(C5296)&gt;=7,MONTH(C5296)&lt;=9),3,4))))</f>
        <v>3</v>
      </c>
      <c r="D5297" s="36"/>
      <c r="E5297" s="7" t="s">
        <v>41</v>
      </c>
      <c r="F5297" s="6"/>
    </row>
    <row r="5298" spans="1:6" ht="15.75" thickBot="1" x14ac:dyDescent="0.3">
      <c r="A5298" s="40"/>
      <c r="B5298" s="40"/>
      <c r="C5298" s="40"/>
      <c r="D5298" s="40"/>
      <c r="E5298" s="40"/>
      <c r="F5298" s="40"/>
    </row>
    <row r="5299" spans="1:6" ht="15.75" thickBot="1" x14ac:dyDescent="0.3">
      <c r="A5299" s="12" t="s">
        <v>42</v>
      </c>
      <c r="B5299" s="12" t="s">
        <v>43</v>
      </c>
      <c r="C5299" s="12" t="s">
        <v>44</v>
      </c>
      <c r="D5299" s="12" t="s">
        <v>45</v>
      </c>
      <c r="E5299" s="12" t="s">
        <v>46</v>
      </c>
      <c r="F5299" s="12" t="s">
        <v>47</v>
      </c>
    </row>
    <row r="5300" spans="1:6" x14ac:dyDescent="0.25">
      <c r="A5300" s="8">
        <v>14111514</v>
      </c>
      <c r="B5300" s="9" t="str">
        <f t="shared" ref="B5300:B5310" ca="1" si="100">IFERROR(INDEX(UNSPSCDes,MATCH(INDIRECT(ADDRESS(ROW(),COLUMN()-1,4)),UNSPSCCode,0)),"")</f>
        <v>Blocs o cuadernos de papel</v>
      </c>
      <c r="C5300" s="33" t="s">
        <v>55</v>
      </c>
      <c r="D5300" s="8">
        <v>2400</v>
      </c>
      <c r="E5300" s="11">
        <v>92.04</v>
      </c>
      <c r="F5300" s="10">
        <f t="shared" ref="F5300:F5310" ca="1" si="101">INDIRECT(ADDRESS(ROW(),COLUMN()-2,4))*INDIRECT(ADDRESS(ROW(),COLUMN()-1,4))</f>
        <v>220896.00000000003</v>
      </c>
    </row>
    <row r="5301" spans="1:6" x14ac:dyDescent="0.25">
      <c r="A5301" s="8">
        <v>44121706</v>
      </c>
      <c r="B5301" s="9" t="str">
        <f t="shared" ca="1" si="100"/>
        <v>Lápices de madera</v>
      </c>
      <c r="C5301" s="33" t="s">
        <v>49</v>
      </c>
      <c r="D5301" s="8">
        <v>100</v>
      </c>
      <c r="E5301" s="11">
        <v>88.6</v>
      </c>
      <c r="F5301" s="10">
        <f t="shared" ca="1" si="101"/>
        <v>8860</v>
      </c>
    </row>
    <row r="5302" spans="1:6" x14ac:dyDescent="0.25">
      <c r="A5302" s="8">
        <v>44121701</v>
      </c>
      <c r="B5302" s="9" t="str">
        <f t="shared" ca="1" si="100"/>
        <v>Bolígrafos</v>
      </c>
      <c r="C5302" s="33" t="s">
        <v>49</v>
      </c>
      <c r="D5302" s="8">
        <v>100</v>
      </c>
      <c r="E5302" s="11">
        <v>109.84</v>
      </c>
      <c r="F5302" s="10">
        <f t="shared" ca="1" si="101"/>
        <v>10984</v>
      </c>
    </row>
    <row r="5303" spans="1:6" x14ac:dyDescent="0.25">
      <c r="A5303" s="8">
        <v>53121603</v>
      </c>
      <c r="B5303" s="9" t="str">
        <f t="shared" ca="1" si="100"/>
        <v>Morrales</v>
      </c>
      <c r="C5303" s="33" t="s">
        <v>55</v>
      </c>
      <c r="D5303" s="8">
        <v>600</v>
      </c>
      <c r="E5303" s="11">
        <v>973.5</v>
      </c>
      <c r="F5303" s="10">
        <f t="shared" ca="1" si="101"/>
        <v>584100</v>
      </c>
    </row>
    <row r="5304" spans="1:6" x14ac:dyDescent="0.25">
      <c r="A5304" s="8">
        <v>44121804</v>
      </c>
      <c r="B5304" s="9" t="str">
        <f t="shared" ca="1" si="100"/>
        <v>Borradores</v>
      </c>
      <c r="C5304" s="33" t="s">
        <v>55</v>
      </c>
      <c r="D5304" s="8">
        <v>600</v>
      </c>
      <c r="E5304" s="11">
        <v>51.92</v>
      </c>
      <c r="F5304" s="10">
        <f t="shared" ca="1" si="101"/>
        <v>31152</v>
      </c>
    </row>
    <row r="5305" spans="1:6" x14ac:dyDescent="0.25">
      <c r="A5305" s="8">
        <v>44121619</v>
      </c>
      <c r="B5305" s="9" t="str">
        <f t="shared" ca="1" si="100"/>
        <v>Tajalápices manuales</v>
      </c>
      <c r="C5305" s="33" t="s">
        <v>55</v>
      </c>
      <c r="D5305" s="8">
        <v>600</v>
      </c>
      <c r="E5305" s="11">
        <v>23.6</v>
      </c>
      <c r="F5305" s="10">
        <f t="shared" ca="1" si="101"/>
        <v>14160</v>
      </c>
    </row>
    <row r="5306" spans="1:6" x14ac:dyDescent="0.25">
      <c r="A5306" s="8">
        <v>44111509</v>
      </c>
      <c r="B5306" s="9" t="str">
        <f t="shared" ca="1" si="100"/>
        <v>Sujetadores de esferos o lápices</v>
      </c>
      <c r="C5306" s="33" t="s">
        <v>55</v>
      </c>
      <c r="D5306" s="8">
        <v>600</v>
      </c>
      <c r="E5306" s="11">
        <v>135.69999999999999</v>
      </c>
      <c r="F5306" s="10">
        <f t="shared" ca="1" si="101"/>
        <v>81420</v>
      </c>
    </row>
    <row r="5307" spans="1:6" x14ac:dyDescent="0.25">
      <c r="A5307" s="8">
        <v>52152002</v>
      </c>
      <c r="B5307" s="9" t="str">
        <f t="shared" ca="1" si="100"/>
        <v>Contenedores para almacenar alimentos para uso doméstico</v>
      </c>
      <c r="C5307" s="33" t="s">
        <v>55</v>
      </c>
      <c r="D5307" s="8">
        <v>600</v>
      </c>
      <c r="E5307" s="11">
        <v>722.75</v>
      </c>
      <c r="F5307" s="10">
        <f t="shared" ca="1" si="101"/>
        <v>433650</v>
      </c>
    </row>
    <row r="5308" spans="1:6" x14ac:dyDescent="0.25">
      <c r="A5308" s="8">
        <v>44111803</v>
      </c>
      <c r="B5308" s="9" t="str">
        <f t="shared" ca="1" si="100"/>
        <v>Compases</v>
      </c>
      <c r="C5308" s="33" t="s">
        <v>55</v>
      </c>
      <c r="D5308" s="8">
        <v>600</v>
      </c>
      <c r="E5308" s="11">
        <v>45.78</v>
      </c>
      <c r="F5308" s="10">
        <f t="shared" ca="1" si="101"/>
        <v>27468</v>
      </c>
    </row>
    <row r="5309" spans="1:6" x14ac:dyDescent="0.25">
      <c r="A5309" s="8">
        <v>44111812</v>
      </c>
      <c r="B5309" s="9" t="str">
        <f t="shared" ca="1" si="100"/>
        <v>Kits o sets de dibujo</v>
      </c>
      <c r="C5309" s="33" t="s">
        <v>55</v>
      </c>
      <c r="D5309" s="8">
        <v>600</v>
      </c>
      <c r="E5309" s="11">
        <v>37.909999999999997</v>
      </c>
      <c r="F5309" s="10">
        <f t="shared" ca="1" si="101"/>
        <v>22745.999999999996</v>
      </c>
    </row>
    <row r="5310" spans="1:6" x14ac:dyDescent="0.25">
      <c r="A5310" s="8">
        <v>44121707</v>
      </c>
      <c r="B5310" s="9" t="str">
        <f t="shared" ca="1" si="100"/>
        <v>Lápices de colores</v>
      </c>
      <c r="C5310" s="33" t="s">
        <v>49</v>
      </c>
      <c r="D5310" s="8">
        <v>600</v>
      </c>
      <c r="E5310" s="11">
        <v>107.43</v>
      </c>
      <c r="F5310" s="10">
        <f t="shared" ca="1" si="101"/>
        <v>64458.000000000007</v>
      </c>
    </row>
    <row r="5311" spans="1:6" x14ac:dyDescent="0.25">
      <c r="A5311" s="40"/>
      <c r="B5311" s="40"/>
      <c r="C5311" s="40"/>
      <c r="D5311" s="40"/>
      <c r="E5311" s="13" t="s">
        <v>87</v>
      </c>
      <c r="F5311" s="14">
        <f ca="1">SUM(Table3143203[MONTO TOTAL ESTIMADO])</f>
        <v>1499894</v>
      </c>
    </row>
    <row r="5312" spans="1:6" ht="15.75" thickBot="1" x14ac:dyDescent="0.3">
      <c r="A5312" s="42"/>
      <c r="B5312" s="42"/>
      <c r="C5312" s="42"/>
      <c r="D5312" s="42"/>
      <c r="E5312" s="42"/>
      <c r="F5312" s="42"/>
    </row>
    <row r="5313" spans="1:6" ht="23.25" thickBot="1" x14ac:dyDescent="0.3">
      <c r="A5313" s="4" t="s">
        <v>19</v>
      </c>
      <c r="B5313" s="4" t="s">
        <v>20</v>
      </c>
      <c r="C5313" s="4" t="s">
        <v>21</v>
      </c>
      <c r="D5313" s="4" t="s">
        <v>22</v>
      </c>
      <c r="E5313" s="4" t="s">
        <v>23</v>
      </c>
      <c r="F5313" s="4" t="s">
        <v>24</v>
      </c>
    </row>
    <row r="5314" spans="1:6" ht="15.75" thickBot="1" x14ac:dyDescent="0.3">
      <c r="A5314" s="32" t="s">
        <v>510</v>
      </c>
      <c r="B5314" s="32" t="s">
        <v>511</v>
      </c>
      <c r="C5314" s="32" t="s">
        <v>27</v>
      </c>
      <c r="D5314" s="6" t="s">
        <v>28</v>
      </c>
      <c r="E5314" s="6" t="s">
        <v>262</v>
      </c>
      <c r="F5314" s="6"/>
    </row>
    <row r="5315" spans="1:6" ht="15.75" thickBot="1" x14ac:dyDescent="0.3">
      <c r="A5315" s="35" t="s">
        <v>31</v>
      </c>
      <c r="B5315" s="7" t="s">
        <v>32</v>
      </c>
      <c r="C5315" s="15">
        <v>45474</v>
      </c>
      <c r="D5315" s="35" t="s">
        <v>33</v>
      </c>
      <c r="E5315" s="7" t="s">
        <v>34</v>
      </c>
      <c r="F5315" s="6"/>
    </row>
    <row r="5316" spans="1:6" ht="15.75" thickBot="1" x14ac:dyDescent="0.3">
      <c r="A5316" s="36"/>
      <c r="B5316" s="7" t="s">
        <v>36</v>
      </c>
      <c r="C5316" s="5">
        <f>IF(C5315="","",IF(AND(MONTH(C5315)&gt;=1,MONTH(C5315)&lt;=3),1,IF(AND(MONTH(C5315)&gt;=4,MONTH(C5315)&lt;=6),2,IF(AND(MONTH(C5315)&gt;=7,MONTH(C5315)&lt;=9),3,4))))</f>
        <v>3</v>
      </c>
      <c r="D5316" s="36"/>
      <c r="E5316" s="7" t="s">
        <v>37</v>
      </c>
      <c r="F5316" s="6"/>
    </row>
    <row r="5317" spans="1:6" ht="15.75" thickBot="1" x14ac:dyDescent="0.3">
      <c r="A5317" s="36"/>
      <c r="B5317" s="7" t="s">
        <v>39</v>
      </c>
      <c r="C5317" s="15">
        <v>45565</v>
      </c>
      <c r="D5317" s="36"/>
      <c r="E5317" s="7" t="s">
        <v>40</v>
      </c>
      <c r="F5317" s="6"/>
    </row>
    <row r="5318" spans="1:6" ht="15.75" thickBot="1" x14ac:dyDescent="0.3">
      <c r="A5318" s="36"/>
      <c r="B5318" s="7" t="s">
        <v>36</v>
      </c>
      <c r="C5318" s="5">
        <f>IF(C5317="","",IF(AND(MONTH(C5317)&gt;=1,MONTH(C5317)&lt;=3),1,IF(AND(MONTH(C5317)&gt;=4,MONTH(C5317)&lt;=6),2,IF(AND(MONTH(C5317)&gt;=7,MONTH(C5317)&lt;=9),3,4))))</f>
        <v>3</v>
      </c>
      <c r="D5318" s="36"/>
      <c r="E5318" s="7" t="s">
        <v>41</v>
      </c>
      <c r="F5318" s="6"/>
    </row>
    <row r="5319" spans="1:6" ht="15.75" thickBot="1" x14ac:dyDescent="0.3">
      <c r="A5319" s="40"/>
      <c r="B5319" s="40"/>
      <c r="C5319" s="40"/>
      <c r="D5319" s="40"/>
      <c r="E5319" s="40"/>
      <c r="F5319" s="40"/>
    </row>
    <row r="5320" spans="1:6" ht="15.75" thickBot="1" x14ac:dyDescent="0.3">
      <c r="A5320" s="12" t="s">
        <v>42</v>
      </c>
      <c r="B5320" s="12" t="s">
        <v>43</v>
      </c>
      <c r="C5320" s="12" t="s">
        <v>44</v>
      </c>
      <c r="D5320" s="12" t="s">
        <v>45</v>
      </c>
      <c r="E5320" s="12" t="s">
        <v>46</v>
      </c>
      <c r="F5320" s="12" t="s">
        <v>47</v>
      </c>
    </row>
    <row r="5321" spans="1:6" x14ac:dyDescent="0.25">
      <c r="A5321" s="8">
        <v>49161608</v>
      </c>
      <c r="B5321" s="9" t="str">
        <f t="shared" ref="B5321:B5338" ca="1" si="102">IFERROR(INDEX(UNSPSCDes,MATCH(INDIRECT(ADDRESS(ROW(),COLUMN()-1,4)),UNSPSCCode,0)),"")</f>
        <v>Balones de voleibol</v>
      </c>
      <c r="C5321" s="33" t="s">
        <v>55</v>
      </c>
      <c r="D5321" s="8">
        <v>100</v>
      </c>
      <c r="E5321" s="11">
        <v>1593</v>
      </c>
      <c r="F5321" s="10">
        <f t="shared" ref="F5321:F5338" ca="1" si="103">INDIRECT(ADDRESS(ROW(),COLUMN()-2,4))*INDIRECT(ADDRESS(ROW(),COLUMN()-1,4))</f>
        <v>159300</v>
      </c>
    </row>
    <row r="5322" spans="1:6" x14ac:dyDescent="0.25">
      <c r="A5322" s="8">
        <v>49161603</v>
      </c>
      <c r="B5322" s="9" t="str">
        <f t="shared" ca="1" si="102"/>
        <v>Pelotas de básquetbol</v>
      </c>
      <c r="C5322" s="33" t="s">
        <v>55</v>
      </c>
      <c r="D5322" s="8">
        <v>30</v>
      </c>
      <c r="E5322" s="11">
        <v>1640</v>
      </c>
      <c r="F5322" s="10">
        <f t="shared" ca="1" si="103"/>
        <v>49200</v>
      </c>
    </row>
    <row r="5323" spans="1:6" x14ac:dyDescent="0.25">
      <c r="A5323" s="8">
        <v>49161603</v>
      </c>
      <c r="B5323" s="9" t="str">
        <f t="shared" ca="1" si="102"/>
        <v>Pelotas de básquetbol</v>
      </c>
      <c r="C5323" s="33" t="s">
        <v>55</v>
      </c>
      <c r="D5323" s="8">
        <v>100</v>
      </c>
      <c r="E5323" s="11">
        <v>1593</v>
      </c>
      <c r="F5323" s="10">
        <f t="shared" ca="1" si="103"/>
        <v>159300</v>
      </c>
    </row>
    <row r="5324" spans="1:6" x14ac:dyDescent="0.25">
      <c r="A5324" s="8">
        <v>49161503</v>
      </c>
      <c r="B5324" s="9" t="str">
        <f t="shared" ca="1" si="102"/>
        <v>Pelotas de beisbol</v>
      </c>
      <c r="C5324" s="33" t="s">
        <v>55</v>
      </c>
      <c r="D5324" s="8">
        <v>100</v>
      </c>
      <c r="E5324" s="11">
        <v>425</v>
      </c>
      <c r="F5324" s="10">
        <f t="shared" ca="1" si="103"/>
        <v>42500</v>
      </c>
    </row>
    <row r="5325" spans="1:6" x14ac:dyDescent="0.25">
      <c r="A5325" s="8">
        <v>49161509</v>
      </c>
      <c r="B5325" s="9" t="str">
        <f t="shared" ca="1" si="102"/>
        <v>Balones de softbol</v>
      </c>
      <c r="C5325" s="33" t="s">
        <v>55</v>
      </c>
      <c r="D5325" s="8">
        <v>100</v>
      </c>
      <c r="E5325" s="11">
        <v>477.9</v>
      </c>
      <c r="F5325" s="10">
        <f t="shared" ca="1" si="103"/>
        <v>47790</v>
      </c>
    </row>
    <row r="5326" spans="1:6" x14ac:dyDescent="0.25">
      <c r="A5326" s="8">
        <v>49161504</v>
      </c>
      <c r="B5326" s="9" t="str">
        <f t="shared" ca="1" si="102"/>
        <v>Balones de futbol</v>
      </c>
      <c r="C5326" s="33" t="s">
        <v>55</v>
      </c>
      <c r="D5326" s="8">
        <v>50</v>
      </c>
      <c r="E5326" s="11">
        <v>1593</v>
      </c>
      <c r="F5326" s="10">
        <f t="shared" ca="1" si="103"/>
        <v>79650</v>
      </c>
    </row>
    <row r="5327" spans="1:6" x14ac:dyDescent="0.25">
      <c r="A5327" s="8">
        <v>49161504</v>
      </c>
      <c r="B5327" s="9" t="str">
        <f t="shared" ca="1" si="102"/>
        <v>Balones de futbol</v>
      </c>
      <c r="C5327" s="33" t="s">
        <v>55</v>
      </c>
      <c r="D5327" s="8">
        <v>60</v>
      </c>
      <c r="E5327" s="11">
        <v>1593</v>
      </c>
      <c r="F5327" s="10">
        <f t="shared" ca="1" si="103"/>
        <v>95580</v>
      </c>
    </row>
    <row r="5328" spans="1:6" x14ac:dyDescent="0.25">
      <c r="A5328" s="8">
        <v>49221502</v>
      </c>
      <c r="B5328" s="9" t="str">
        <f t="shared" ca="1" si="102"/>
        <v>Porterías</v>
      </c>
      <c r="C5328" s="33" t="s">
        <v>55</v>
      </c>
      <c r="D5328" s="8">
        <v>30</v>
      </c>
      <c r="E5328" s="11">
        <v>1416</v>
      </c>
      <c r="F5328" s="10">
        <f t="shared" ca="1" si="103"/>
        <v>42480</v>
      </c>
    </row>
    <row r="5329" spans="1:6" x14ac:dyDescent="0.25">
      <c r="A5329" s="8">
        <v>49181509</v>
      </c>
      <c r="B5329" s="9" t="str">
        <f t="shared" ca="1" si="102"/>
        <v>Bolas de ping pong</v>
      </c>
      <c r="C5329" s="33" t="s">
        <v>55</v>
      </c>
      <c r="D5329" s="8">
        <v>100</v>
      </c>
      <c r="E5329" s="11">
        <v>94.4</v>
      </c>
      <c r="F5329" s="10">
        <f t="shared" ca="1" si="103"/>
        <v>9440</v>
      </c>
    </row>
    <row r="5330" spans="1:6" x14ac:dyDescent="0.25">
      <c r="A5330" s="8">
        <v>49161603</v>
      </c>
      <c r="B5330" s="9" t="str">
        <f t="shared" ca="1" si="102"/>
        <v>Pelotas de básquetbol</v>
      </c>
      <c r="C5330" s="33" t="s">
        <v>55</v>
      </c>
      <c r="D5330" s="8">
        <v>50</v>
      </c>
      <c r="E5330" s="11">
        <v>2950</v>
      </c>
      <c r="F5330" s="10">
        <f t="shared" ca="1" si="103"/>
        <v>147500</v>
      </c>
    </row>
    <row r="5331" spans="1:6" x14ac:dyDescent="0.25">
      <c r="A5331" s="8">
        <v>49161603</v>
      </c>
      <c r="B5331" s="9" t="str">
        <f t="shared" ca="1" si="102"/>
        <v>Pelotas de básquetbol</v>
      </c>
      <c r="C5331" s="33" t="s">
        <v>55</v>
      </c>
      <c r="D5331" s="8">
        <v>25</v>
      </c>
      <c r="E5331" s="11">
        <v>3304</v>
      </c>
      <c r="F5331" s="10">
        <f t="shared" ca="1" si="103"/>
        <v>82600</v>
      </c>
    </row>
    <row r="5332" spans="1:6" x14ac:dyDescent="0.25">
      <c r="A5332" s="8">
        <v>49161503</v>
      </c>
      <c r="B5332" s="9" t="str">
        <f t="shared" ca="1" si="102"/>
        <v>Pelotas de beisbol</v>
      </c>
      <c r="C5332" s="33" t="s">
        <v>55</v>
      </c>
      <c r="D5332" s="8">
        <v>25</v>
      </c>
      <c r="E5332" s="11">
        <v>295</v>
      </c>
      <c r="F5332" s="10">
        <f t="shared" ca="1" si="103"/>
        <v>7375</v>
      </c>
    </row>
    <row r="5333" spans="1:6" x14ac:dyDescent="0.25">
      <c r="A5333" s="8">
        <v>49221507</v>
      </c>
      <c r="B5333" s="9" t="str">
        <f t="shared" ca="1" si="102"/>
        <v>Tableros de basquetbol</v>
      </c>
      <c r="C5333" s="33" t="s">
        <v>55</v>
      </c>
      <c r="D5333" s="8">
        <v>10</v>
      </c>
      <c r="E5333" s="11">
        <v>41300</v>
      </c>
      <c r="F5333" s="10">
        <f t="shared" ca="1" si="103"/>
        <v>413000</v>
      </c>
    </row>
    <row r="5334" spans="1:6" x14ac:dyDescent="0.25">
      <c r="A5334" s="8">
        <v>49221505</v>
      </c>
      <c r="B5334" s="9" t="str">
        <f t="shared" ca="1" si="102"/>
        <v>Mallas o redes para deportes</v>
      </c>
      <c r="C5334" s="33" t="s">
        <v>55</v>
      </c>
      <c r="D5334" s="8">
        <v>25</v>
      </c>
      <c r="E5334" s="11">
        <v>241.9</v>
      </c>
      <c r="F5334" s="10">
        <f t="shared" ca="1" si="103"/>
        <v>6047.5</v>
      </c>
    </row>
    <row r="5335" spans="1:6" x14ac:dyDescent="0.25">
      <c r="A5335" s="8">
        <v>49161506</v>
      </c>
      <c r="B5335" s="9" t="str">
        <f t="shared" ca="1" si="102"/>
        <v>Bates de beisbol</v>
      </c>
      <c r="C5335" s="33" t="s">
        <v>55</v>
      </c>
      <c r="D5335" s="8">
        <v>25</v>
      </c>
      <c r="E5335" s="11">
        <v>5074</v>
      </c>
      <c r="F5335" s="10">
        <f t="shared" ca="1" si="103"/>
        <v>126850</v>
      </c>
    </row>
    <row r="5336" spans="1:6" x14ac:dyDescent="0.25">
      <c r="A5336" s="8">
        <v>49161520</v>
      </c>
      <c r="B5336" s="9" t="str">
        <f t="shared" ca="1" si="102"/>
        <v>Bates de softbol</v>
      </c>
      <c r="C5336" s="33" t="s">
        <v>55</v>
      </c>
      <c r="D5336" s="8">
        <v>10</v>
      </c>
      <c r="E5336" s="11">
        <v>4277.5</v>
      </c>
      <c r="F5336" s="10">
        <f t="shared" ca="1" si="103"/>
        <v>42775</v>
      </c>
    </row>
    <row r="5337" spans="1:6" x14ac:dyDescent="0.25">
      <c r="A5337" s="8">
        <v>49161608</v>
      </c>
      <c r="B5337" s="9" t="str">
        <f t="shared" ca="1" si="102"/>
        <v>Balones de voleibol</v>
      </c>
      <c r="C5337" s="33" t="s">
        <v>55</v>
      </c>
      <c r="D5337" s="8">
        <v>50</v>
      </c>
      <c r="E5337" s="11">
        <v>1800</v>
      </c>
      <c r="F5337" s="10">
        <f t="shared" ca="1" si="103"/>
        <v>90000</v>
      </c>
    </row>
    <row r="5338" spans="1:6" x14ac:dyDescent="0.25">
      <c r="A5338" s="8">
        <v>49161506</v>
      </c>
      <c r="B5338" s="9" t="str">
        <f t="shared" ca="1" si="102"/>
        <v>Bates de beisbol</v>
      </c>
      <c r="C5338" s="33" t="s">
        <v>55</v>
      </c>
      <c r="D5338" s="8">
        <v>15</v>
      </c>
      <c r="E5338" s="11">
        <v>4074</v>
      </c>
      <c r="F5338" s="10">
        <f t="shared" ca="1" si="103"/>
        <v>61110</v>
      </c>
    </row>
    <row r="5339" spans="1:6" x14ac:dyDescent="0.25">
      <c r="A5339" s="40"/>
      <c r="B5339" s="40"/>
      <c r="C5339" s="40"/>
      <c r="D5339" s="40"/>
      <c r="E5339" s="13" t="s">
        <v>87</v>
      </c>
      <c r="F5339" s="14">
        <f ca="1">SUM(Table3145204[MONTO TOTAL ESTIMADO])</f>
        <v>1662497.5</v>
      </c>
    </row>
    <row r="5340" spans="1:6" ht="15.75" thickBot="1" x14ac:dyDescent="0.3">
      <c r="A5340" s="42"/>
      <c r="B5340" s="42"/>
      <c r="C5340" s="42"/>
      <c r="D5340" s="42"/>
      <c r="E5340" s="42"/>
      <c r="F5340" s="42"/>
    </row>
    <row r="5341" spans="1:6" ht="23.25" thickBot="1" x14ac:dyDescent="0.3">
      <c r="A5341" s="4" t="s">
        <v>19</v>
      </c>
      <c r="B5341" s="4" t="s">
        <v>20</v>
      </c>
      <c r="C5341" s="4" t="s">
        <v>21</v>
      </c>
      <c r="D5341" s="4" t="s">
        <v>22</v>
      </c>
      <c r="E5341" s="4" t="s">
        <v>23</v>
      </c>
      <c r="F5341" s="4" t="s">
        <v>24</v>
      </c>
    </row>
    <row r="5342" spans="1:6" ht="15.75" thickBot="1" x14ac:dyDescent="0.3">
      <c r="A5342" s="32" t="s">
        <v>523</v>
      </c>
      <c r="B5342" s="32" t="s">
        <v>524</v>
      </c>
      <c r="C5342" s="32" t="s">
        <v>27</v>
      </c>
      <c r="D5342" s="6" t="s">
        <v>28</v>
      </c>
      <c r="E5342" s="6" t="s">
        <v>262</v>
      </c>
      <c r="F5342" s="6"/>
    </row>
    <row r="5343" spans="1:6" ht="15.75" thickBot="1" x14ac:dyDescent="0.3">
      <c r="A5343" s="35" t="s">
        <v>31</v>
      </c>
      <c r="B5343" s="7" t="s">
        <v>32</v>
      </c>
      <c r="C5343" s="15">
        <v>45474</v>
      </c>
      <c r="D5343" s="35" t="s">
        <v>33</v>
      </c>
      <c r="E5343" s="7" t="s">
        <v>34</v>
      </c>
      <c r="F5343" s="6"/>
    </row>
    <row r="5344" spans="1:6" ht="15.75" thickBot="1" x14ac:dyDescent="0.3">
      <c r="A5344" s="36"/>
      <c r="B5344" s="7" t="s">
        <v>36</v>
      </c>
      <c r="C5344" s="5">
        <f>IF(C5343="","",IF(AND(MONTH(C5343)&gt;=1,MONTH(C5343)&lt;=3),1,IF(AND(MONTH(C5343)&gt;=4,MONTH(C5343)&lt;=6),2,IF(AND(MONTH(C5343)&gt;=7,MONTH(C5343)&lt;=9),3,4))))</f>
        <v>3</v>
      </c>
      <c r="D5344" s="36"/>
      <c r="E5344" s="7" t="s">
        <v>37</v>
      </c>
      <c r="F5344" s="6"/>
    </row>
    <row r="5345" spans="1:6" ht="15.75" thickBot="1" x14ac:dyDescent="0.3">
      <c r="A5345" s="36"/>
      <c r="B5345" s="7" t="s">
        <v>39</v>
      </c>
      <c r="C5345" s="15">
        <v>45565</v>
      </c>
      <c r="D5345" s="36"/>
      <c r="E5345" s="7" t="s">
        <v>40</v>
      </c>
      <c r="F5345" s="6"/>
    </row>
    <row r="5346" spans="1:6" ht="15.75" thickBot="1" x14ac:dyDescent="0.3">
      <c r="A5346" s="36"/>
      <c r="B5346" s="7" t="s">
        <v>36</v>
      </c>
      <c r="C5346" s="5">
        <f>IF(C5345="","",IF(AND(MONTH(C5345)&gt;=1,MONTH(C5345)&lt;=3),1,IF(AND(MONTH(C5345)&gt;=4,MONTH(C5345)&lt;=6),2,IF(AND(MONTH(C5345)&gt;=7,MONTH(C5345)&lt;=9),3,4))))</f>
        <v>3</v>
      </c>
      <c r="D5346" s="36"/>
      <c r="E5346" s="7" t="s">
        <v>41</v>
      </c>
      <c r="F5346" s="6"/>
    </row>
    <row r="5347" spans="1:6" ht="15.75" thickBot="1" x14ac:dyDescent="0.3">
      <c r="A5347" s="40"/>
      <c r="B5347" s="40"/>
      <c r="C5347" s="40"/>
      <c r="D5347" s="40"/>
      <c r="E5347" s="40"/>
      <c r="F5347" s="40"/>
    </row>
    <row r="5348" spans="1:6" ht="15.75" thickBot="1" x14ac:dyDescent="0.3">
      <c r="A5348" s="12" t="s">
        <v>42</v>
      </c>
      <c r="B5348" s="12" t="s">
        <v>43</v>
      </c>
      <c r="C5348" s="12" t="s">
        <v>44</v>
      </c>
      <c r="D5348" s="12" t="s">
        <v>45</v>
      </c>
      <c r="E5348" s="12" t="s">
        <v>46</v>
      </c>
      <c r="F5348" s="12" t="s">
        <v>47</v>
      </c>
    </row>
    <row r="5349" spans="1:6" x14ac:dyDescent="0.25">
      <c r="A5349" s="8">
        <v>43211507</v>
      </c>
      <c r="B5349" s="9" t="str">
        <f ca="1">IFERROR(INDEX(UNSPSCDes,MATCH(INDIRECT(ADDRESS(ROW(),COLUMN()-1,4)),UNSPSCCode,0)),"")</f>
        <v>Computadores de escritorio</v>
      </c>
      <c r="C5349" s="33" t="s">
        <v>55</v>
      </c>
      <c r="D5349" s="8">
        <v>10</v>
      </c>
      <c r="E5349" s="11">
        <v>80000</v>
      </c>
      <c r="F5349" s="10">
        <f ca="1">INDIRECT(ADDRESS(ROW(),COLUMN()-2,4))*INDIRECT(ADDRESS(ROW(),COLUMN()-1,4))</f>
        <v>800000</v>
      </c>
    </row>
    <row r="5350" spans="1:6" x14ac:dyDescent="0.25">
      <c r="A5350" s="8">
        <v>43212110</v>
      </c>
      <c r="B5350" s="9" t="str">
        <f ca="1">IFERROR(INDEX(UNSPSCDes,MATCH(INDIRECT(ADDRESS(ROW(),COLUMN()-1,4)),UNSPSCCode,0)),"")</f>
        <v>Impresoras de múltiples funciones</v>
      </c>
      <c r="C5350" s="33" t="s">
        <v>55</v>
      </c>
      <c r="D5350" s="8">
        <v>10</v>
      </c>
      <c r="E5350" s="11">
        <v>45000</v>
      </c>
      <c r="F5350" s="10">
        <f ca="1">INDIRECT(ADDRESS(ROW(),COLUMN()-2,4))*INDIRECT(ADDRESS(ROW(),COLUMN()-1,4))</f>
        <v>450000</v>
      </c>
    </row>
    <row r="5351" spans="1:6" x14ac:dyDescent="0.25">
      <c r="A5351" s="40"/>
      <c r="B5351" s="40"/>
      <c r="C5351" s="40"/>
      <c r="D5351" s="40"/>
      <c r="E5351" s="13" t="s">
        <v>87</v>
      </c>
      <c r="F5351" s="14">
        <f ca="1">SUM(Table3146205[MONTO TOTAL ESTIMADO])</f>
        <v>1250000</v>
      </c>
    </row>
    <row r="5352" spans="1:6" ht="15.75" thickBot="1" x14ac:dyDescent="0.3">
      <c r="A5352" s="42"/>
      <c r="B5352" s="42"/>
      <c r="C5352" s="42"/>
      <c r="D5352" s="42"/>
      <c r="E5352" s="42"/>
      <c r="F5352" s="42"/>
    </row>
    <row r="5353" spans="1:6" ht="23.25" thickBot="1" x14ac:dyDescent="0.3">
      <c r="A5353" s="4" t="s">
        <v>19</v>
      </c>
      <c r="B5353" s="4" t="s">
        <v>20</v>
      </c>
      <c r="C5353" s="4" t="s">
        <v>21</v>
      </c>
      <c r="D5353" s="4" t="s">
        <v>22</v>
      </c>
      <c r="E5353" s="4" t="s">
        <v>23</v>
      </c>
      <c r="F5353" s="4" t="s">
        <v>24</v>
      </c>
    </row>
    <row r="5354" spans="1:6" ht="15.75" thickBot="1" x14ac:dyDescent="0.3">
      <c r="A5354" s="32" t="s">
        <v>510</v>
      </c>
      <c r="B5354" s="32" t="s">
        <v>511</v>
      </c>
      <c r="C5354" s="32" t="s">
        <v>27</v>
      </c>
      <c r="D5354" s="6" t="s">
        <v>28</v>
      </c>
      <c r="E5354" s="6" t="s">
        <v>262</v>
      </c>
      <c r="F5354" s="6"/>
    </row>
    <row r="5355" spans="1:6" ht="15.75" thickBot="1" x14ac:dyDescent="0.3">
      <c r="A5355" s="35" t="s">
        <v>31</v>
      </c>
      <c r="B5355" s="7" t="s">
        <v>32</v>
      </c>
      <c r="C5355" s="15">
        <v>45474</v>
      </c>
      <c r="D5355" s="35" t="s">
        <v>33</v>
      </c>
      <c r="E5355" s="7" t="s">
        <v>34</v>
      </c>
      <c r="F5355" s="6"/>
    </row>
    <row r="5356" spans="1:6" ht="15.75" thickBot="1" x14ac:dyDescent="0.3">
      <c r="A5356" s="36"/>
      <c r="B5356" s="7" t="s">
        <v>36</v>
      </c>
      <c r="C5356" s="5">
        <f>IF(C5355="","",IF(AND(MONTH(C5355)&gt;=1,MONTH(C5355)&lt;=3),1,IF(AND(MONTH(C5355)&gt;=4,MONTH(C5355)&lt;=6),2,IF(AND(MONTH(C5355)&gt;=7,MONTH(C5355)&lt;=9),3,4))))</f>
        <v>3</v>
      </c>
      <c r="D5356" s="36"/>
      <c r="E5356" s="7" t="s">
        <v>37</v>
      </c>
      <c r="F5356" s="6"/>
    </row>
    <row r="5357" spans="1:6" ht="15.75" thickBot="1" x14ac:dyDescent="0.3">
      <c r="A5357" s="36"/>
      <c r="B5357" s="7" t="s">
        <v>39</v>
      </c>
      <c r="C5357" s="15">
        <v>45565</v>
      </c>
      <c r="D5357" s="36"/>
      <c r="E5357" s="7" t="s">
        <v>40</v>
      </c>
      <c r="F5357" s="6"/>
    </row>
    <row r="5358" spans="1:6" ht="15.75" thickBot="1" x14ac:dyDescent="0.3">
      <c r="A5358" s="36"/>
      <c r="B5358" s="7" t="s">
        <v>36</v>
      </c>
      <c r="C5358" s="5">
        <f>IF(C5357="","",IF(AND(MONTH(C5357)&gt;=1,MONTH(C5357)&lt;=3),1,IF(AND(MONTH(C5357)&gt;=4,MONTH(C5357)&lt;=6),2,IF(AND(MONTH(C5357)&gt;=7,MONTH(C5357)&lt;=9),3,4))))</f>
        <v>3</v>
      </c>
      <c r="D5358" s="36"/>
      <c r="E5358" s="7" t="s">
        <v>41</v>
      </c>
      <c r="F5358" s="6"/>
    </row>
    <row r="5359" spans="1:6" ht="15.75" thickBot="1" x14ac:dyDescent="0.3">
      <c r="A5359" s="40"/>
      <c r="B5359" s="40"/>
      <c r="C5359" s="40"/>
      <c r="D5359" s="40"/>
      <c r="E5359" s="40"/>
      <c r="F5359" s="40"/>
    </row>
    <row r="5360" spans="1:6" ht="15.75" thickBot="1" x14ac:dyDescent="0.3">
      <c r="A5360" s="12" t="s">
        <v>42</v>
      </c>
      <c r="B5360" s="12" t="s">
        <v>43</v>
      </c>
      <c r="C5360" s="12" t="s">
        <v>44</v>
      </c>
      <c r="D5360" s="12" t="s">
        <v>45</v>
      </c>
      <c r="E5360" s="12" t="s">
        <v>46</v>
      </c>
      <c r="F5360" s="12" t="s">
        <v>47</v>
      </c>
    </row>
    <row r="5361" spans="1:6" x14ac:dyDescent="0.25">
      <c r="A5361" s="8">
        <v>49161608</v>
      </c>
      <c r="B5361" s="9" t="str">
        <f t="shared" ref="B5361:B5378" ca="1" si="104">IFERROR(INDEX(UNSPSCDes,MATCH(INDIRECT(ADDRESS(ROW(),COLUMN()-1,4)),UNSPSCCode,0)),"")</f>
        <v>Balones de voleibol</v>
      </c>
      <c r="C5361" s="33" t="s">
        <v>55</v>
      </c>
      <c r="D5361" s="8">
        <v>100</v>
      </c>
      <c r="E5361" s="11">
        <v>1593</v>
      </c>
      <c r="F5361" s="10">
        <f t="shared" ref="F5361:F5378" ca="1" si="105">INDIRECT(ADDRESS(ROW(),COLUMN()-2,4))*INDIRECT(ADDRESS(ROW(),COLUMN()-1,4))</f>
        <v>159300</v>
      </c>
    </row>
    <row r="5362" spans="1:6" x14ac:dyDescent="0.25">
      <c r="A5362" s="8">
        <v>49161603</v>
      </c>
      <c r="B5362" s="9" t="str">
        <f t="shared" ca="1" si="104"/>
        <v>Pelotas de básquetbol</v>
      </c>
      <c r="C5362" s="33" t="s">
        <v>55</v>
      </c>
      <c r="D5362" s="8">
        <v>30</v>
      </c>
      <c r="E5362" s="11">
        <v>1640</v>
      </c>
      <c r="F5362" s="10">
        <f t="shared" ca="1" si="105"/>
        <v>49200</v>
      </c>
    </row>
    <row r="5363" spans="1:6" x14ac:dyDescent="0.25">
      <c r="A5363" s="8">
        <v>49161603</v>
      </c>
      <c r="B5363" s="9" t="str">
        <f t="shared" ca="1" si="104"/>
        <v>Pelotas de básquetbol</v>
      </c>
      <c r="C5363" s="33" t="s">
        <v>55</v>
      </c>
      <c r="D5363" s="8">
        <v>100</v>
      </c>
      <c r="E5363" s="11">
        <v>1593</v>
      </c>
      <c r="F5363" s="10">
        <f t="shared" ca="1" si="105"/>
        <v>159300</v>
      </c>
    </row>
    <row r="5364" spans="1:6" x14ac:dyDescent="0.25">
      <c r="A5364" s="8">
        <v>49161503</v>
      </c>
      <c r="B5364" s="9" t="str">
        <f t="shared" ca="1" si="104"/>
        <v>Pelotas de beisbol</v>
      </c>
      <c r="C5364" s="33" t="s">
        <v>55</v>
      </c>
      <c r="D5364" s="8">
        <v>100</v>
      </c>
      <c r="E5364" s="11">
        <v>425</v>
      </c>
      <c r="F5364" s="10">
        <f t="shared" ca="1" si="105"/>
        <v>42500</v>
      </c>
    </row>
    <row r="5365" spans="1:6" x14ac:dyDescent="0.25">
      <c r="A5365" s="8">
        <v>49161509</v>
      </c>
      <c r="B5365" s="9" t="str">
        <f t="shared" ca="1" si="104"/>
        <v>Balones de softbol</v>
      </c>
      <c r="C5365" s="33" t="s">
        <v>55</v>
      </c>
      <c r="D5365" s="8">
        <v>100</v>
      </c>
      <c r="E5365" s="11">
        <v>477.9</v>
      </c>
      <c r="F5365" s="10">
        <f t="shared" ca="1" si="105"/>
        <v>47790</v>
      </c>
    </row>
    <row r="5366" spans="1:6" x14ac:dyDescent="0.25">
      <c r="A5366" s="8">
        <v>49161504</v>
      </c>
      <c r="B5366" s="9" t="str">
        <f t="shared" ca="1" si="104"/>
        <v>Balones de futbol</v>
      </c>
      <c r="C5366" s="33" t="s">
        <v>55</v>
      </c>
      <c r="D5366" s="8">
        <v>50</v>
      </c>
      <c r="E5366" s="11">
        <v>1593</v>
      </c>
      <c r="F5366" s="10">
        <f t="shared" ca="1" si="105"/>
        <v>79650</v>
      </c>
    </row>
    <row r="5367" spans="1:6" x14ac:dyDescent="0.25">
      <c r="A5367" s="8">
        <v>49161504</v>
      </c>
      <c r="B5367" s="9" t="str">
        <f t="shared" ca="1" si="104"/>
        <v>Balones de futbol</v>
      </c>
      <c r="C5367" s="33" t="s">
        <v>55</v>
      </c>
      <c r="D5367" s="8">
        <v>60</v>
      </c>
      <c r="E5367" s="11">
        <v>1593</v>
      </c>
      <c r="F5367" s="10">
        <f t="shared" ca="1" si="105"/>
        <v>95580</v>
      </c>
    </row>
    <row r="5368" spans="1:6" x14ac:dyDescent="0.25">
      <c r="A5368" s="8">
        <v>49221502</v>
      </c>
      <c r="B5368" s="9" t="str">
        <f t="shared" ca="1" si="104"/>
        <v>Porterías</v>
      </c>
      <c r="C5368" s="33" t="s">
        <v>55</v>
      </c>
      <c r="D5368" s="8">
        <v>30</v>
      </c>
      <c r="E5368" s="11">
        <v>1416</v>
      </c>
      <c r="F5368" s="10">
        <f t="shared" ca="1" si="105"/>
        <v>42480</v>
      </c>
    </row>
    <row r="5369" spans="1:6" x14ac:dyDescent="0.25">
      <c r="A5369" s="8">
        <v>49181509</v>
      </c>
      <c r="B5369" s="9" t="str">
        <f t="shared" ca="1" si="104"/>
        <v>Bolas de ping pong</v>
      </c>
      <c r="C5369" s="33" t="s">
        <v>55</v>
      </c>
      <c r="D5369" s="8">
        <v>100</v>
      </c>
      <c r="E5369" s="11">
        <v>94.4</v>
      </c>
      <c r="F5369" s="10">
        <f t="shared" ca="1" si="105"/>
        <v>9440</v>
      </c>
    </row>
    <row r="5370" spans="1:6" x14ac:dyDescent="0.25">
      <c r="A5370" s="8">
        <v>49161603</v>
      </c>
      <c r="B5370" s="9" t="str">
        <f t="shared" ca="1" si="104"/>
        <v>Pelotas de básquetbol</v>
      </c>
      <c r="C5370" s="33" t="s">
        <v>55</v>
      </c>
      <c r="D5370" s="8">
        <v>50</v>
      </c>
      <c r="E5370" s="11">
        <v>2950</v>
      </c>
      <c r="F5370" s="10">
        <f t="shared" ca="1" si="105"/>
        <v>147500</v>
      </c>
    </row>
    <row r="5371" spans="1:6" x14ac:dyDescent="0.25">
      <c r="A5371" s="8">
        <v>49161603</v>
      </c>
      <c r="B5371" s="9" t="str">
        <f t="shared" ca="1" si="104"/>
        <v>Pelotas de básquetbol</v>
      </c>
      <c r="C5371" s="33" t="s">
        <v>55</v>
      </c>
      <c r="D5371" s="8">
        <v>25</v>
      </c>
      <c r="E5371" s="11">
        <v>3304</v>
      </c>
      <c r="F5371" s="10">
        <f t="shared" ca="1" si="105"/>
        <v>82600</v>
      </c>
    </row>
    <row r="5372" spans="1:6" x14ac:dyDescent="0.25">
      <c r="A5372" s="8">
        <v>49161503</v>
      </c>
      <c r="B5372" s="9" t="str">
        <f t="shared" ca="1" si="104"/>
        <v>Pelotas de beisbol</v>
      </c>
      <c r="C5372" s="33" t="s">
        <v>55</v>
      </c>
      <c r="D5372" s="8">
        <v>25</v>
      </c>
      <c r="E5372" s="11">
        <v>295</v>
      </c>
      <c r="F5372" s="10">
        <f t="shared" ca="1" si="105"/>
        <v>7375</v>
      </c>
    </row>
    <row r="5373" spans="1:6" x14ac:dyDescent="0.25">
      <c r="A5373" s="8">
        <v>49221507</v>
      </c>
      <c r="B5373" s="9" t="str">
        <f t="shared" ca="1" si="104"/>
        <v>Tableros de basquetbol</v>
      </c>
      <c r="C5373" s="33" t="s">
        <v>55</v>
      </c>
      <c r="D5373" s="8">
        <v>10</v>
      </c>
      <c r="E5373" s="11">
        <v>41300</v>
      </c>
      <c r="F5373" s="10">
        <f t="shared" ca="1" si="105"/>
        <v>413000</v>
      </c>
    </row>
    <row r="5374" spans="1:6" x14ac:dyDescent="0.25">
      <c r="A5374" s="8">
        <v>49221505</v>
      </c>
      <c r="B5374" s="9" t="str">
        <f t="shared" ca="1" si="104"/>
        <v>Mallas o redes para deportes</v>
      </c>
      <c r="C5374" s="33" t="s">
        <v>55</v>
      </c>
      <c r="D5374" s="8">
        <v>25</v>
      </c>
      <c r="E5374" s="11">
        <v>241.9</v>
      </c>
      <c r="F5374" s="10">
        <f t="shared" ca="1" si="105"/>
        <v>6047.5</v>
      </c>
    </row>
    <row r="5375" spans="1:6" x14ac:dyDescent="0.25">
      <c r="A5375" s="8">
        <v>49161506</v>
      </c>
      <c r="B5375" s="9" t="str">
        <f t="shared" ca="1" si="104"/>
        <v>Bates de beisbol</v>
      </c>
      <c r="C5375" s="33" t="s">
        <v>55</v>
      </c>
      <c r="D5375" s="8">
        <v>25</v>
      </c>
      <c r="E5375" s="11">
        <v>5074</v>
      </c>
      <c r="F5375" s="10">
        <f t="shared" ca="1" si="105"/>
        <v>126850</v>
      </c>
    </row>
    <row r="5376" spans="1:6" x14ac:dyDescent="0.25">
      <c r="A5376" s="8">
        <v>49161520</v>
      </c>
      <c r="B5376" s="9" t="str">
        <f t="shared" ca="1" si="104"/>
        <v>Bates de softbol</v>
      </c>
      <c r="C5376" s="33" t="s">
        <v>55</v>
      </c>
      <c r="D5376" s="8">
        <v>10</v>
      </c>
      <c r="E5376" s="11">
        <v>4277.5</v>
      </c>
      <c r="F5376" s="10">
        <f t="shared" ca="1" si="105"/>
        <v>42775</v>
      </c>
    </row>
    <row r="5377" spans="1:6" x14ac:dyDescent="0.25">
      <c r="A5377" s="8">
        <v>49161608</v>
      </c>
      <c r="B5377" s="9" t="str">
        <f t="shared" ca="1" si="104"/>
        <v>Balones de voleibol</v>
      </c>
      <c r="C5377" s="33" t="s">
        <v>55</v>
      </c>
      <c r="D5377" s="8">
        <v>50</v>
      </c>
      <c r="E5377" s="11">
        <v>1800</v>
      </c>
      <c r="F5377" s="10">
        <f t="shared" ca="1" si="105"/>
        <v>90000</v>
      </c>
    </row>
    <row r="5378" spans="1:6" x14ac:dyDescent="0.25">
      <c r="A5378" s="8">
        <v>49161506</v>
      </c>
      <c r="B5378" s="9" t="str">
        <f t="shared" ca="1" si="104"/>
        <v>Bates de beisbol</v>
      </c>
      <c r="C5378" s="33" t="s">
        <v>55</v>
      </c>
      <c r="D5378" s="8">
        <v>15</v>
      </c>
      <c r="E5378" s="11">
        <v>4074</v>
      </c>
      <c r="F5378" s="10">
        <f t="shared" ca="1" si="105"/>
        <v>61110</v>
      </c>
    </row>
    <row r="5379" spans="1:6" x14ac:dyDescent="0.25">
      <c r="A5379" s="40"/>
      <c r="B5379" s="40"/>
      <c r="C5379" s="40"/>
      <c r="D5379" s="40"/>
      <c r="E5379" s="13" t="s">
        <v>87</v>
      </c>
      <c r="F5379" s="14">
        <f ca="1">SUM(Table3147206[MONTO TOTAL ESTIMADO])</f>
        <v>1662497.5</v>
      </c>
    </row>
    <row r="5380" spans="1:6" ht="15.75" thickBot="1" x14ac:dyDescent="0.3">
      <c r="A5380" s="42"/>
      <c r="B5380" s="42"/>
      <c r="C5380" s="42"/>
      <c r="D5380" s="42"/>
      <c r="E5380" s="42"/>
      <c r="F5380" s="42"/>
    </row>
    <row r="5381" spans="1:6" ht="23.25" thickBot="1" x14ac:dyDescent="0.3">
      <c r="A5381" s="4" t="s">
        <v>19</v>
      </c>
      <c r="B5381" s="4" t="s">
        <v>20</v>
      </c>
      <c r="C5381" s="4" t="s">
        <v>21</v>
      </c>
      <c r="D5381" s="4" t="s">
        <v>22</v>
      </c>
      <c r="E5381" s="4" t="s">
        <v>23</v>
      </c>
      <c r="F5381" s="4" t="s">
        <v>24</v>
      </c>
    </row>
    <row r="5382" spans="1:6" ht="15.75" thickBot="1" x14ac:dyDescent="0.3">
      <c r="A5382" s="32" t="s">
        <v>527</v>
      </c>
      <c r="B5382" s="32" t="s">
        <v>528</v>
      </c>
      <c r="C5382" s="32" t="s">
        <v>129</v>
      </c>
      <c r="D5382" s="6" t="s">
        <v>28</v>
      </c>
      <c r="E5382" s="6" t="s">
        <v>262</v>
      </c>
      <c r="F5382" s="6"/>
    </row>
    <row r="5383" spans="1:6" ht="15.75" thickBot="1" x14ac:dyDescent="0.3">
      <c r="A5383" s="35" t="s">
        <v>31</v>
      </c>
      <c r="B5383" s="7" t="s">
        <v>32</v>
      </c>
      <c r="C5383" s="15">
        <v>45474</v>
      </c>
      <c r="D5383" s="35" t="s">
        <v>33</v>
      </c>
      <c r="E5383" s="7" t="s">
        <v>34</v>
      </c>
      <c r="F5383" s="6"/>
    </row>
    <row r="5384" spans="1:6" ht="15.75" thickBot="1" x14ac:dyDescent="0.3">
      <c r="A5384" s="36"/>
      <c r="B5384" s="7" t="s">
        <v>36</v>
      </c>
      <c r="C5384" s="5">
        <f>IF(C5383="","",IF(AND(MONTH(C5383)&gt;=1,MONTH(C5383)&lt;=3),1,IF(AND(MONTH(C5383)&gt;=4,MONTH(C5383)&lt;=6),2,IF(AND(MONTH(C5383)&gt;=7,MONTH(C5383)&lt;=9),3,4))))</f>
        <v>3</v>
      </c>
      <c r="D5384" s="36"/>
      <c r="E5384" s="7" t="s">
        <v>37</v>
      </c>
      <c r="F5384" s="6"/>
    </row>
    <row r="5385" spans="1:6" ht="15.75" thickBot="1" x14ac:dyDescent="0.3">
      <c r="A5385" s="36"/>
      <c r="B5385" s="7" t="s">
        <v>39</v>
      </c>
      <c r="C5385" s="15">
        <v>45565</v>
      </c>
      <c r="D5385" s="36"/>
      <c r="E5385" s="7" t="s">
        <v>40</v>
      </c>
      <c r="F5385" s="6"/>
    </row>
    <row r="5386" spans="1:6" ht="15.75" thickBot="1" x14ac:dyDescent="0.3">
      <c r="A5386" s="36"/>
      <c r="B5386" s="7" t="s">
        <v>36</v>
      </c>
      <c r="C5386" s="5">
        <f>IF(C5385="","",IF(AND(MONTH(C5385)&gt;=1,MONTH(C5385)&lt;=3),1,IF(AND(MONTH(C5385)&gt;=4,MONTH(C5385)&lt;=6),2,IF(AND(MONTH(C5385)&gt;=7,MONTH(C5385)&lt;=9),3,4))))</f>
        <v>3</v>
      </c>
      <c r="D5386" s="36"/>
      <c r="E5386" s="7" t="s">
        <v>41</v>
      </c>
      <c r="F5386" s="6"/>
    </row>
    <row r="5387" spans="1:6" ht="15.75" thickBot="1" x14ac:dyDescent="0.3">
      <c r="A5387" s="40"/>
      <c r="B5387" s="40"/>
      <c r="C5387" s="40"/>
      <c r="D5387" s="40"/>
      <c r="E5387" s="40"/>
      <c r="F5387" s="40"/>
    </row>
    <row r="5388" spans="1:6" ht="15.75" thickBot="1" x14ac:dyDescent="0.3">
      <c r="A5388" s="12" t="s">
        <v>42</v>
      </c>
      <c r="B5388" s="12" t="s">
        <v>43</v>
      </c>
      <c r="C5388" s="12" t="s">
        <v>44</v>
      </c>
      <c r="D5388" s="12" t="s">
        <v>45</v>
      </c>
      <c r="E5388" s="12" t="s">
        <v>46</v>
      </c>
      <c r="F5388" s="12" t="s">
        <v>47</v>
      </c>
    </row>
    <row r="5389" spans="1:6" ht="22.5" x14ac:dyDescent="0.25">
      <c r="A5389" s="41">
        <v>78101802</v>
      </c>
      <c r="B5389" s="9" t="str">
        <f ca="1">IFERROR(INDEX(UNSPSCDes,MATCH(INDIRECT(ADDRESS(ROW(),COLUMN()-1,4)),UNSPSCCode,0)),"")</f>
        <v>Servicios transporte de carga por carretera (en camión) a nivel regional y nacional</v>
      </c>
      <c r="C5389" s="33" t="s">
        <v>55</v>
      </c>
      <c r="D5389" s="8">
        <v>10</v>
      </c>
      <c r="E5389" s="11">
        <v>35000</v>
      </c>
      <c r="F5389" s="10">
        <f ca="1">INDIRECT(ADDRESS(ROW(),COLUMN()-2,4))*INDIRECT(ADDRESS(ROW(),COLUMN()-1,4))</f>
        <v>350000</v>
      </c>
    </row>
    <row r="5390" spans="1:6" x14ac:dyDescent="0.25">
      <c r="A5390" s="41">
        <v>78111808</v>
      </c>
      <c r="B5390" s="9" t="str">
        <f ca="1">IFERROR(INDEX(UNSPSCDes,MATCH(INDIRECT(ADDRESS(ROW(),COLUMN()-1,4)),UNSPSCCode,0)),"")</f>
        <v>Alquiler de vehículos</v>
      </c>
      <c r="C5390" s="33" t="s">
        <v>55</v>
      </c>
      <c r="D5390" s="8">
        <v>20</v>
      </c>
      <c r="E5390" s="11">
        <v>16000</v>
      </c>
      <c r="F5390" s="10">
        <f ca="1">INDIRECT(ADDRESS(ROW(),COLUMN()-2,4))*INDIRECT(ADDRESS(ROW(),COLUMN()-1,4))</f>
        <v>320000</v>
      </c>
    </row>
    <row r="5391" spans="1:6" x14ac:dyDescent="0.25">
      <c r="A5391" s="40"/>
      <c r="B5391" s="40"/>
      <c r="C5391" s="40"/>
      <c r="D5391" s="40"/>
      <c r="E5391" s="13" t="s">
        <v>87</v>
      </c>
      <c r="F5391" s="14">
        <f ca="1">SUM(Table3148207[MONTO TOTAL ESTIMADO])</f>
        <v>670000</v>
      </c>
    </row>
    <row r="5392" spans="1:6" ht="15.75" thickBot="1" x14ac:dyDescent="0.3">
      <c r="A5392" s="42"/>
      <c r="B5392" s="42"/>
      <c r="C5392" s="42"/>
      <c r="D5392" s="42"/>
      <c r="E5392" s="42"/>
      <c r="F5392" s="42"/>
    </row>
    <row r="5393" spans="1:6" ht="23.25" thickBot="1" x14ac:dyDescent="0.3">
      <c r="A5393" s="4" t="s">
        <v>19</v>
      </c>
      <c r="B5393" s="4" t="s">
        <v>20</v>
      </c>
      <c r="C5393" s="4" t="s">
        <v>21</v>
      </c>
      <c r="D5393" s="4" t="s">
        <v>22</v>
      </c>
      <c r="E5393" s="4" t="s">
        <v>23</v>
      </c>
      <c r="F5393" s="4" t="s">
        <v>24</v>
      </c>
    </row>
    <row r="5394" spans="1:6" ht="15.75" thickBot="1" x14ac:dyDescent="0.3">
      <c r="A5394" s="32" t="s">
        <v>268</v>
      </c>
      <c r="B5394" s="32" t="s">
        <v>529</v>
      </c>
      <c r="C5394" s="32" t="s">
        <v>129</v>
      </c>
      <c r="D5394" s="6" t="s">
        <v>28</v>
      </c>
      <c r="E5394" s="6" t="s">
        <v>262</v>
      </c>
      <c r="F5394" s="6"/>
    </row>
    <row r="5395" spans="1:6" ht="15.75" thickBot="1" x14ac:dyDescent="0.3">
      <c r="A5395" s="35" t="s">
        <v>31</v>
      </c>
      <c r="B5395" s="7" t="s">
        <v>32</v>
      </c>
      <c r="C5395" s="15">
        <v>45474</v>
      </c>
      <c r="D5395" s="35" t="s">
        <v>33</v>
      </c>
      <c r="E5395" s="7" t="s">
        <v>34</v>
      </c>
      <c r="F5395" s="6"/>
    </row>
    <row r="5396" spans="1:6" ht="15.75" thickBot="1" x14ac:dyDescent="0.3">
      <c r="A5396" s="36"/>
      <c r="B5396" s="7" t="s">
        <v>36</v>
      </c>
      <c r="C5396" s="5">
        <f>IF(C5395="","",IF(AND(MONTH(C5395)&gt;=1,MONTH(C5395)&lt;=3),1,IF(AND(MONTH(C5395)&gt;=4,MONTH(C5395)&lt;=6),2,IF(AND(MONTH(C5395)&gt;=7,MONTH(C5395)&lt;=9),3,4))))</f>
        <v>3</v>
      </c>
      <c r="D5396" s="36"/>
      <c r="E5396" s="7" t="s">
        <v>37</v>
      </c>
      <c r="F5396" s="6"/>
    </row>
    <row r="5397" spans="1:6" ht="15.75" thickBot="1" x14ac:dyDescent="0.3">
      <c r="A5397" s="36"/>
      <c r="B5397" s="7" t="s">
        <v>39</v>
      </c>
      <c r="C5397" s="15">
        <v>45565</v>
      </c>
      <c r="D5397" s="36"/>
      <c r="E5397" s="7" t="s">
        <v>40</v>
      </c>
      <c r="F5397" s="6"/>
    </row>
    <row r="5398" spans="1:6" ht="15.75" thickBot="1" x14ac:dyDescent="0.3">
      <c r="A5398" s="36"/>
      <c r="B5398" s="7" t="s">
        <v>36</v>
      </c>
      <c r="C5398" s="5">
        <f>IF(C5397="","",IF(AND(MONTH(C5397)&gt;=1,MONTH(C5397)&lt;=3),1,IF(AND(MONTH(C5397)&gt;=4,MONTH(C5397)&lt;=6),2,IF(AND(MONTH(C5397)&gt;=7,MONTH(C5397)&lt;=9),3,4))))</f>
        <v>3</v>
      </c>
      <c r="D5398" s="36"/>
      <c r="E5398" s="7" t="s">
        <v>41</v>
      </c>
      <c r="F5398" s="6"/>
    </row>
    <row r="5399" spans="1:6" ht="15.75" thickBot="1" x14ac:dyDescent="0.3">
      <c r="A5399" s="40"/>
      <c r="B5399" s="40"/>
      <c r="C5399" s="40"/>
      <c r="D5399" s="40"/>
      <c r="E5399" s="40"/>
      <c r="F5399" s="40"/>
    </row>
    <row r="5400" spans="1:6" ht="15.75" thickBot="1" x14ac:dyDescent="0.3">
      <c r="A5400" s="12" t="s">
        <v>42</v>
      </c>
      <c r="B5400" s="12" t="s">
        <v>43</v>
      </c>
      <c r="C5400" s="12" t="s">
        <v>44</v>
      </c>
      <c r="D5400" s="12" t="s">
        <v>45</v>
      </c>
      <c r="E5400" s="12" t="s">
        <v>46</v>
      </c>
      <c r="F5400" s="12" t="s">
        <v>47</v>
      </c>
    </row>
    <row r="5401" spans="1:6" x14ac:dyDescent="0.25">
      <c r="A5401" s="8">
        <v>78111808</v>
      </c>
      <c r="B5401" s="9" t="str">
        <f ca="1">IFERROR(INDEX(UNSPSCDes,MATCH(INDIRECT(ADDRESS(ROW(),COLUMN()-1,4)),UNSPSCCode,0)),"")</f>
        <v>Alquiler de vehículos</v>
      </c>
      <c r="C5401" s="33" t="s">
        <v>55</v>
      </c>
      <c r="D5401" s="8">
        <v>1</v>
      </c>
      <c r="E5401" s="11">
        <v>1700000</v>
      </c>
      <c r="F5401" s="10">
        <f ca="1">INDIRECT(ADDRESS(ROW(),COLUMN()-2,4))*INDIRECT(ADDRESS(ROW(),COLUMN()-1,4))</f>
        <v>1700000</v>
      </c>
    </row>
    <row r="5402" spans="1:6" x14ac:dyDescent="0.25">
      <c r="A5402" s="40"/>
      <c r="B5402" s="40"/>
      <c r="C5402" s="40"/>
      <c r="D5402" s="40"/>
      <c r="E5402" s="13" t="s">
        <v>87</v>
      </c>
      <c r="F5402" s="14">
        <f ca="1">SUM(Table3149208[MONTO TOTAL ESTIMADO])</f>
        <v>1700000</v>
      </c>
    </row>
    <row r="5403" spans="1:6" ht="15.75" thickBot="1" x14ac:dyDescent="0.3">
      <c r="A5403" s="42"/>
      <c r="B5403" s="42"/>
      <c r="C5403" s="42"/>
      <c r="D5403" s="42"/>
      <c r="E5403" s="42"/>
      <c r="F5403" s="42"/>
    </row>
    <row r="5404" spans="1:6" ht="23.25" thickBot="1" x14ac:dyDescent="0.3">
      <c r="A5404" s="4" t="s">
        <v>19</v>
      </c>
      <c r="B5404" s="4" t="s">
        <v>20</v>
      </c>
      <c r="C5404" s="4" t="s">
        <v>21</v>
      </c>
      <c r="D5404" s="4" t="s">
        <v>22</v>
      </c>
      <c r="E5404" s="4" t="s">
        <v>23</v>
      </c>
      <c r="F5404" s="4" t="s">
        <v>24</v>
      </c>
    </row>
    <row r="5405" spans="1:6" ht="15.75" thickBot="1" x14ac:dyDescent="0.3">
      <c r="A5405" s="32" t="s">
        <v>510</v>
      </c>
      <c r="B5405" s="32" t="s">
        <v>511</v>
      </c>
      <c r="C5405" s="32" t="s">
        <v>27</v>
      </c>
      <c r="D5405" s="6" t="s">
        <v>28</v>
      </c>
      <c r="E5405" s="6" t="s">
        <v>262</v>
      </c>
      <c r="F5405" s="6"/>
    </row>
    <row r="5406" spans="1:6" ht="15.75" thickBot="1" x14ac:dyDescent="0.3">
      <c r="A5406" s="35" t="s">
        <v>31</v>
      </c>
      <c r="B5406" s="7" t="s">
        <v>32</v>
      </c>
      <c r="C5406" s="15">
        <v>45474</v>
      </c>
      <c r="D5406" s="35" t="s">
        <v>33</v>
      </c>
      <c r="E5406" s="7" t="s">
        <v>34</v>
      </c>
      <c r="F5406" s="6"/>
    </row>
    <row r="5407" spans="1:6" ht="15.75" thickBot="1" x14ac:dyDescent="0.3">
      <c r="A5407" s="36"/>
      <c r="B5407" s="7" t="s">
        <v>36</v>
      </c>
      <c r="C5407" s="5">
        <f>IF(C5406="","",IF(AND(MONTH(C5406)&gt;=1,MONTH(C5406)&lt;=3),1,IF(AND(MONTH(C5406)&gt;=4,MONTH(C5406)&lt;=6),2,IF(AND(MONTH(C5406)&gt;=7,MONTH(C5406)&lt;=9),3,4))))</f>
        <v>3</v>
      </c>
      <c r="D5407" s="36"/>
      <c r="E5407" s="7" t="s">
        <v>37</v>
      </c>
      <c r="F5407" s="6"/>
    </row>
    <row r="5408" spans="1:6" ht="15.75" thickBot="1" x14ac:dyDescent="0.3">
      <c r="A5408" s="36"/>
      <c r="B5408" s="7" t="s">
        <v>39</v>
      </c>
      <c r="C5408" s="15">
        <v>45565</v>
      </c>
      <c r="D5408" s="36"/>
      <c r="E5408" s="7" t="s">
        <v>40</v>
      </c>
      <c r="F5408" s="6"/>
    </row>
    <row r="5409" spans="1:6" ht="15.75" thickBot="1" x14ac:dyDescent="0.3">
      <c r="A5409" s="36"/>
      <c r="B5409" s="7" t="s">
        <v>36</v>
      </c>
      <c r="C5409" s="5">
        <f>IF(C5408="","",IF(AND(MONTH(C5408)&gt;=1,MONTH(C5408)&lt;=3),1,IF(AND(MONTH(C5408)&gt;=4,MONTH(C5408)&lt;=6),2,IF(AND(MONTH(C5408)&gt;=7,MONTH(C5408)&lt;=9),3,4))))</f>
        <v>3</v>
      </c>
      <c r="D5409" s="36"/>
      <c r="E5409" s="7" t="s">
        <v>41</v>
      </c>
      <c r="F5409" s="6"/>
    </row>
    <row r="5410" spans="1:6" ht="15.75" thickBot="1" x14ac:dyDescent="0.3">
      <c r="A5410" s="40"/>
      <c r="B5410" s="40"/>
      <c r="C5410" s="40"/>
      <c r="D5410" s="40"/>
      <c r="E5410" s="40"/>
      <c r="F5410" s="40"/>
    </row>
    <row r="5411" spans="1:6" ht="15.75" thickBot="1" x14ac:dyDescent="0.3">
      <c r="A5411" s="12" t="s">
        <v>42</v>
      </c>
      <c r="B5411" s="12" t="s">
        <v>43</v>
      </c>
      <c r="C5411" s="12" t="s">
        <v>44</v>
      </c>
      <c r="D5411" s="12" t="s">
        <v>45</v>
      </c>
      <c r="E5411" s="12" t="s">
        <v>46</v>
      </c>
      <c r="F5411" s="12" t="s">
        <v>47</v>
      </c>
    </row>
    <row r="5412" spans="1:6" x14ac:dyDescent="0.25">
      <c r="A5412" s="8">
        <v>49161608</v>
      </c>
      <c r="B5412" s="9" t="str">
        <f t="shared" ref="B5412:B5429" ca="1" si="106">IFERROR(INDEX(UNSPSCDes,MATCH(INDIRECT(ADDRESS(ROW(),COLUMN()-1,4)),UNSPSCCode,0)),"")</f>
        <v>Balones de voleibol</v>
      </c>
      <c r="C5412" s="33" t="s">
        <v>55</v>
      </c>
      <c r="D5412" s="8">
        <v>100</v>
      </c>
      <c r="E5412" s="11">
        <v>1593</v>
      </c>
      <c r="F5412" s="10">
        <f t="shared" ref="F5412:F5429" ca="1" si="107">INDIRECT(ADDRESS(ROW(),COLUMN()-2,4))*INDIRECT(ADDRESS(ROW(),COLUMN()-1,4))</f>
        <v>159300</v>
      </c>
    </row>
    <row r="5413" spans="1:6" x14ac:dyDescent="0.25">
      <c r="A5413" s="8">
        <v>49161603</v>
      </c>
      <c r="B5413" s="9" t="str">
        <f t="shared" ca="1" si="106"/>
        <v>Pelotas de básquetbol</v>
      </c>
      <c r="C5413" s="33" t="s">
        <v>55</v>
      </c>
      <c r="D5413" s="8">
        <v>30</v>
      </c>
      <c r="E5413" s="11">
        <v>1640</v>
      </c>
      <c r="F5413" s="10">
        <f t="shared" ca="1" si="107"/>
        <v>49200</v>
      </c>
    </row>
    <row r="5414" spans="1:6" x14ac:dyDescent="0.25">
      <c r="A5414" s="8">
        <v>49161603</v>
      </c>
      <c r="B5414" s="9" t="str">
        <f t="shared" ca="1" si="106"/>
        <v>Pelotas de básquetbol</v>
      </c>
      <c r="C5414" s="33" t="s">
        <v>55</v>
      </c>
      <c r="D5414" s="8">
        <v>100</v>
      </c>
      <c r="E5414" s="11">
        <v>1593</v>
      </c>
      <c r="F5414" s="10">
        <f t="shared" ca="1" si="107"/>
        <v>159300</v>
      </c>
    </row>
    <row r="5415" spans="1:6" x14ac:dyDescent="0.25">
      <c r="A5415" s="8">
        <v>49161503</v>
      </c>
      <c r="B5415" s="9" t="str">
        <f t="shared" ca="1" si="106"/>
        <v>Pelotas de beisbol</v>
      </c>
      <c r="C5415" s="33" t="s">
        <v>55</v>
      </c>
      <c r="D5415" s="8">
        <v>100</v>
      </c>
      <c r="E5415" s="11">
        <v>425</v>
      </c>
      <c r="F5415" s="10">
        <f t="shared" ca="1" si="107"/>
        <v>42500</v>
      </c>
    </row>
    <row r="5416" spans="1:6" x14ac:dyDescent="0.25">
      <c r="A5416" s="8">
        <v>49161509</v>
      </c>
      <c r="B5416" s="9" t="str">
        <f t="shared" ca="1" si="106"/>
        <v>Balones de softbol</v>
      </c>
      <c r="C5416" s="33" t="s">
        <v>55</v>
      </c>
      <c r="D5416" s="8">
        <v>100</v>
      </c>
      <c r="E5416" s="11">
        <v>477.9</v>
      </c>
      <c r="F5416" s="10">
        <f t="shared" ca="1" si="107"/>
        <v>47790</v>
      </c>
    </row>
    <row r="5417" spans="1:6" x14ac:dyDescent="0.25">
      <c r="A5417" s="8">
        <v>49161504</v>
      </c>
      <c r="B5417" s="9" t="str">
        <f t="shared" ca="1" si="106"/>
        <v>Balones de futbol</v>
      </c>
      <c r="C5417" s="33" t="s">
        <v>55</v>
      </c>
      <c r="D5417" s="8">
        <v>50</v>
      </c>
      <c r="E5417" s="11">
        <v>1593</v>
      </c>
      <c r="F5417" s="10">
        <f t="shared" ca="1" si="107"/>
        <v>79650</v>
      </c>
    </row>
    <row r="5418" spans="1:6" x14ac:dyDescent="0.25">
      <c r="A5418" s="8">
        <v>49161504</v>
      </c>
      <c r="B5418" s="9" t="str">
        <f t="shared" ca="1" si="106"/>
        <v>Balones de futbol</v>
      </c>
      <c r="C5418" s="33" t="s">
        <v>55</v>
      </c>
      <c r="D5418" s="8">
        <v>60</v>
      </c>
      <c r="E5418" s="11">
        <v>1593</v>
      </c>
      <c r="F5418" s="10">
        <f t="shared" ca="1" si="107"/>
        <v>95580</v>
      </c>
    </row>
    <row r="5419" spans="1:6" x14ac:dyDescent="0.25">
      <c r="A5419" s="8">
        <v>49221502</v>
      </c>
      <c r="B5419" s="9" t="str">
        <f t="shared" ca="1" si="106"/>
        <v>Porterías</v>
      </c>
      <c r="C5419" s="33" t="s">
        <v>55</v>
      </c>
      <c r="D5419" s="8">
        <v>30</v>
      </c>
      <c r="E5419" s="11">
        <v>1416</v>
      </c>
      <c r="F5419" s="10">
        <f t="shared" ca="1" si="107"/>
        <v>42480</v>
      </c>
    </row>
    <row r="5420" spans="1:6" x14ac:dyDescent="0.25">
      <c r="A5420" s="8">
        <v>49181509</v>
      </c>
      <c r="B5420" s="9" t="str">
        <f t="shared" ca="1" si="106"/>
        <v>Bolas de ping pong</v>
      </c>
      <c r="C5420" s="33" t="s">
        <v>55</v>
      </c>
      <c r="D5420" s="8">
        <v>100</v>
      </c>
      <c r="E5420" s="11">
        <v>94.4</v>
      </c>
      <c r="F5420" s="10">
        <f t="shared" ca="1" si="107"/>
        <v>9440</v>
      </c>
    </row>
    <row r="5421" spans="1:6" x14ac:dyDescent="0.25">
      <c r="A5421" s="8">
        <v>49161603</v>
      </c>
      <c r="B5421" s="9" t="str">
        <f t="shared" ca="1" si="106"/>
        <v>Pelotas de básquetbol</v>
      </c>
      <c r="C5421" s="33" t="s">
        <v>55</v>
      </c>
      <c r="D5421" s="8">
        <v>50</v>
      </c>
      <c r="E5421" s="11">
        <v>2950</v>
      </c>
      <c r="F5421" s="10">
        <f t="shared" ca="1" si="107"/>
        <v>147500</v>
      </c>
    </row>
    <row r="5422" spans="1:6" x14ac:dyDescent="0.25">
      <c r="A5422" s="8">
        <v>49161603</v>
      </c>
      <c r="B5422" s="9" t="str">
        <f t="shared" ca="1" si="106"/>
        <v>Pelotas de básquetbol</v>
      </c>
      <c r="C5422" s="33" t="s">
        <v>55</v>
      </c>
      <c r="D5422" s="8">
        <v>25</v>
      </c>
      <c r="E5422" s="11">
        <v>3304</v>
      </c>
      <c r="F5422" s="10">
        <f t="shared" ca="1" si="107"/>
        <v>82600</v>
      </c>
    </row>
    <row r="5423" spans="1:6" x14ac:dyDescent="0.25">
      <c r="A5423" s="8">
        <v>49161503</v>
      </c>
      <c r="B5423" s="9" t="str">
        <f t="shared" ca="1" si="106"/>
        <v>Pelotas de beisbol</v>
      </c>
      <c r="C5423" s="33" t="s">
        <v>55</v>
      </c>
      <c r="D5423" s="8">
        <v>25</v>
      </c>
      <c r="E5423" s="11">
        <v>295</v>
      </c>
      <c r="F5423" s="10">
        <f t="shared" ca="1" si="107"/>
        <v>7375</v>
      </c>
    </row>
    <row r="5424" spans="1:6" x14ac:dyDescent="0.25">
      <c r="A5424" s="8">
        <v>49221507</v>
      </c>
      <c r="B5424" s="9" t="str">
        <f t="shared" ca="1" si="106"/>
        <v>Tableros de basquetbol</v>
      </c>
      <c r="C5424" s="33" t="s">
        <v>55</v>
      </c>
      <c r="D5424" s="8">
        <v>10</v>
      </c>
      <c r="E5424" s="11">
        <v>41300</v>
      </c>
      <c r="F5424" s="10">
        <f t="shared" ca="1" si="107"/>
        <v>413000</v>
      </c>
    </row>
    <row r="5425" spans="1:6" x14ac:dyDescent="0.25">
      <c r="A5425" s="8">
        <v>49221505</v>
      </c>
      <c r="B5425" s="9" t="str">
        <f t="shared" ca="1" si="106"/>
        <v>Mallas o redes para deportes</v>
      </c>
      <c r="C5425" s="33" t="s">
        <v>55</v>
      </c>
      <c r="D5425" s="8">
        <v>25</v>
      </c>
      <c r="E5425" s="11">
        <v>241.9</v>
      </c>
      <c r="F5425" s="10">
        <f t="shared" ca="1" si="107"/>
        <v>6047.5</v>
      </c>
    </row>
    <row r="5426" spans="1:6" x14ac:dyDescent="0.25">
      <c r="A5426" s="8">
        <v>49161506</v>
      </c>
      <c r="B5426" s="9" t="str">
        <f t="shared" ca="1" si="106"/>
        <v>Bates de beisbol</v>
      </c>
      <c r="C5426" s="33" t="s">
        <v>55</v>
      </c>
      <c r="D5426" s="8">
        <v>25</v>
      </c>
      <c r="E5426" s="11">
        <v>5074</v>
      </c>
      <c r="F5426" s="10">
        <f t="shared" ca="1" si="107"/>
        <v>126850</v>
      </c>
    </row>
    <row r="5427" spans="1:6" x14ac:dyDescent="0.25">
      <c r="A5427" s="8">
        <v>49161520</v>
      </c>
      <c r="B5427" s="9" t="str">
        <f t="shared" ca="1" si="106"/>
        <v>Bates de softbol</v>
      </c>
      <c r="C5427" s="33" t="s">
        <v>55</v>
      </c>
      <c r="D5427" s="8">
        <v>10</v>
      </c>
      <c r="E5427" s="11">
        <v>4277.5</v>
      </c>
      <c r="F5427" s="10">
        <f t="shared" ca="1" si="107"/>
        <v>42775</v>
      </c>
    </row>
    <row r="5428" spans="1:6" x14ac:dyDescent="0.25">
      <c r="A5428" s="8">
        <v>49161608</v>
      </c>
      <c r="B5428" s="9" t="str">
        <f t="shared" ca="1" si="106"/>
        <v>Balones de voleibol</v>
      </c>
      <c r="C5428" s="33" t="s">
        <v>55</v>
      </c>
      <c r="D5428" s="8">
        <v>50</v>
      </c>
      <c r="E5428" s="11">
        <v>1800</v>
      </c>
      <c r="F5428" s="10">
        <f t="shared" ca="1" si="107"/>
        <v>90000</v>
      </c>
    </row>
    <row r="5429" spans="1:6" x14ac:dyDescent="0.25">
      <c r="A5429" s="8">
        <v>49161506</v>
      </c>
      <c r="B5429" s="9" t="str">
        <f t="shared" ca="1" si="106"/>
        <v>Bates de beisbol</v>
      </c>
      <c r="C5429" s="33" t="s">
        <v>55</v>
      </c>
      <c r="D5429" s="8">
        <v>15</v>
      </c>
      <c r="E5429" s="11">
        <v>4074</v>
      </c>
      <c r="F5429" s="10">
        <f t="shared" ca="1" si="107"/>
        <v>61110</v>
      </c>
    </row>
    <row r="5430" spans="1:6" x14ac:dyDescent="0.25">
      <c r="A5430" s="40"/>
      <c r="B5430" s="40"/>
      <c r="C5430" s="40"/>
      <c r="D5430" s="40"/>
      <c r="E5430" s="13" t="s">
        <v>87</v>
      </c>
      <c r="F5430" s="14">
        <f ca="1">SUM(Table3150209[MONTO TOTAL ESTIMADO])</f>
        <v>1662497.5</v>
      </c>
    </row>
    <row r="5431" spans="1:6" ht="15.75" thickBot="1" x14ac:dyDescent="0.3">
      <c r="A5431" s="42"/>
      <c r="B5431" s="42"/>
      <c r="C5431" s="42"/>
      <c r="D5431" s="42"/>
      <c r="E5431" s="42"/>
      <c r="F5431" s="42"/>
    </row>
    <row r="5432" spans="1:6" ht="23.25" thickBot="1" x14ac:dyDescent="0.3">
      <c r="A5432" s="4" t="s">
        <v>19</v>
      </c>
      <c r="B5432" s="4" t="s">
        <v>20</v>
      </c>
      <c r="C5432" s="4" t="s">
        <v>21</v>
      </c>
      <c r="D5432" s="4" t="s">
        <v>22</v>
      </c>
      <c r="E5432" s="4" t="s">
        <v>23</v>
      </c>
      <c r="F5432" s="4" t="s">
        <v>24</v>
      </c>
    </row>
    <row r="5433" spans="1:6" ht="15.75" thickBot="1" x14ac:dyDescent="0.3">
      <c r="A5433" s="32" t="s">
        <v>530</v>
      </c>
      <c r="B5433" s="32" t="s">
        <v>531</v>
      </c>
      <c r="C5433" s="32" t="s">
        <v>27</v>
      </c>
      <c r="D5433" s="6" t="s">
        <v>28</v>
      </c>
      <c r="E5433" s="6" t="s">
        <v>262</v>
      </c>
      <c r="F5433" s="6"/>
    </row>
    <row r="5434" spans="1:6" ht="15.75" thickBot="1" x14ac:dyDescent="0.3">
      <c r="A5434" s="35" t="s">
        <v>31</v>
      </c>
      <c r="B5434" s="7" t="s">
        <v>32</v>
      </c>
      <c r="C5434" s="15">
        <v>45474</v>
      </c>
      <c r="D5434" s="35" t="s">
        <v>33</v>
      </c>
      <c r="E5434" s="7" t="s">
        <v>34</v>
      </c>
      <c r="F5434" s="6"/>
    </row>
    <row r="5435" spans="1:6" ht="15.75" thickBot="1" x14ac:dyDescent="0.3">
      <c r="A5435" s="36"/>
      <c r="B5435" s="7" t="s">
        <v>36</v>
      </c>
      <c r="C5435" s="5">
        <f>IF(C5434="","",IF(AND(MONTH(C5434)&gt;=1,MONTH(C5434)&lt;=3),1,IF(AND(MONTH(C5434)&gt;=4,MONTH(C5434)&lt;=6),2,IF(AND(MONTH(C5434)&gt;=7,MONTH(C5434)&lt;=9),3,4))))</f>
        <v>3</v>
      </c>
      <c r="D5435" s="36"/>
      <c r="E5435" s="7" t="s">
        <v>37</v>
      </c>
      <c r="F5435" s="6"/>
    </row>
    <row r="5436" spans="1:6" ht="15.75" thickBot="1" x14ac:dyDescent="0.3">
      <c r="A5436" s="36"/>
      <c r="B5436" s="7" t="s">
        <v>39</v>
      </c>
      <c r="C5436" s="15">
        <v>45565</v>
      </c>
      <c r="D5436" s="36"/>
      <c r="E5436" s="7" t="s">
        <v>40</v>
      </c>
      <c r="F5436" s="6"/>
    </row>
    <row r="5437" spans="1:6" ht="15.75" thickBot="1" x14ac:dyDescent="0.3">
      <c r="A5437" s="36"/>
      <c r="B5437" s="7" t="s">
        <v>36</v>
      </c>
      <c r="C5437" s="5">
        <f>IF(C5436="","",IF(AND(MONTH(C5436)&gt;=1,MONTH(C5436)&lt;=3),1,IF(AND(MONTH(C5436)&gt;=4,MONTH(C5436)&lt;=6),2,IF(AND(MONTH(C5436)&gt;=7,MONTH(C5436)&lt;=9),3,4))))</f>
        <v>3</v>
      </c>
      <c r="D5437" s="36"/>
      <c r="E5437" s="7" t="s">
        <v>41</v>
      </c>
      <c r="F5437" s="6"/>
    </row>
    <row r="5438" spans="1:6" ht="15.75" thickBot="1" x14ac:dyDescent="0.3">
      <c r="A5438" s="40"/>
      <c r="B5438" s="40"/>
      <c r="C5438" s="40"/>
      <c r="D5438" s="40"/>
      <c r="E5438" s="40"/>
      <c r="F5438" s="40"/>
    </row>
    <row r="5439" spans="1:6" ht="15.75" thickBot="1" x14ac:dyDescent="0.3">
      <c r="A5439" s="12" t="s">
        <v>42</v>
      </c>
      <c r="B5439" s="12" t="s">
        <v>43</v>
      </c>
      <c r="C5439" s="12" t="s">
        <v>44</v>
      </c>
      <c r="D5439" s="12" t="s">
        <v>45</v>
      </c>
      <c r="E5439" s="12" t="s">
        <v>46</v>
      </c>
      <c r="F5439" s="12" t="s">
        <v>47</v>
      </c>
    </row>
    <row r="5440" spans="1:6" x14ac:dyDescent="0.25">
      <c r="A5440" s="8">
        <v>11161704</v>
      </c>
      <c r="B5440" s="9" t="str">
        <f ca="1">IFERROR(INDEX(UNSPSCDes,MATCH(INDIRECT(ADDRESS(ROW(),COLUMN()-1,4)),UNSPSCCode,0)),"")</f>
        <v>Textiles de algodón tejido</v>
      </c>
      <c r="C5440" s="33" t="s">
        <v>55</v>
      </c>
      <c r="D5440" s="8">
        <v>2000</v>
      </c>
      <c r="E5440" s="11">
        <v>495.6</v>
      </c>
      <c r="F5440" s="10">
        <f ca="1">INDIRECT(ADDRESS(ROW(),COLUMN()-2,4))*INDIRECT(ADDRESS(ROW(),COLUMN()-1,4))</f>
        <v>991200</v>
      </c>
    </row>
    <row r="5441" spans="1:6" x14ac:dyDescent="0.25">
      <c r="A5441" s="40"/>
      <c r="B5441" s="40"/>
      <c r="C5441" s="40"/>
      <c r="D5441" s="40"/>
      <c r="E5441" s="13" t="s">
        <v>87</v>
      </c>
      <c r="F5441" s="14">
        <f ca="1">SUM(Table3151210[MONTO TOTAL ESTIMADO])</f>
        <v>991200</v>
      </c>
    </row>
    <row r="5442" spans="1:6" ht="15.75" thickBot="1" x14ac:dyDescent="0.3">
      <c r="A5442" s="42"/>
      <c r="B5442" s="42"/>
      <c r="C5442" s="42"/>
      <c r="D5442" s="42"/>
      <c r="E5442" s="42"/>
      <c r="F5442" s="42"/>
    </row>
    <row r="5443" spans="1:6" ht="23.25" thickBot="1" x14ac:dyDescent="0.3">
      <c r="A5443" s="4" t="s">
        <v>19</v>
      </c>
      <c r="B5443" s="4" t="s">
        <v>20</v>
      </c>
      <c r="C5443" s="4" t="s">
        <v>21</v>
      </c>
      <c r="D5443" s="4" t="s">
        <v>22</v>
      </c>
      <c r="E5443" s="4" t="s">
        <v>23</v>
      </c>
      <c r="F5443" s="4" t="s">
        <v>24</v>
      </c>
    </row>
    <row r="5444" spans="1:6" ht="15.75" thickBot="1" x14ac:dyDescent="0.3">
      <c r="A5444" s="32" t="s">
        <v>510</v>
      </c>
      <c r="B5444" s="32" t="s">
        <v>511</v>
      </c>
      <c r="C5444" s="6" t="s">
        <v>27</v>
      </c>
      <c r="D5444" s="6" t="s">
        <v>28</v>
      </c>
      <c r="E5444" s="6" t="s">
        <v>262</v>
      </c>
      <c r="F5444" s="6"/>
    </row>
    <row r="5445" spans="1:6" ht="15.75" thickBot="1" x14ac:dyDescent="0.3">
      <c r="A5445" s="35" t="s">
        <v>31</v>
      </c>
      <c r="B5445" s="7" t="s">
        <v>32</v>
      </c>
      <c r="C5445" s="15">
        <v>45474</v>
      </c>
      <c r="D5445" s="35" t="s">
        <v>33</v>
      </c>
      <c r="E5445" s="7" t="s">
        <v>34</v>
      </c>
      <c r="F5445" s="6"/>
    </row>
    <row r="5446" spans="1:6" ht="15.75" thickBot="1" x14ac:dyDescent="0.3">
      <c r="A5446" s="36"/>
      <c r="B5446" s="7" t="s">
        <v>36</v>
      </c>
      <c r="C5446" s="5">
        <f>IF(C5445="","",IF(AND(MONTH(C5445)&gt;=1,MONTH(C5445)&lt;=3),1,IF(AND(MONTH(C5445)&gt;=4,MONTH(C5445)&lt;=6),2,IF(AND(MONTH(C5445)&gt;=7,MONTH(C5445)&lt;=9),3,4))))</f>
        <v>3</v>
      </c>
      <c r="D5446" s="36"/>
      <c r="E5446" s="7" t="s">
        <v>37</v>
      </c>
      <c r="F5446" s="6"/>
    </row>
    <row r="5447" spans="1:6" ht="15.75" thickBot="1" x14ac:dyDescent="0.3">
      <c r="A5447" s="36"/>
      <c r="B5447" s="7" t="s">
        <v>39</v>
      </c>
      <c r="C5447" s="15">
        <v>45565</v>
      </c>
      <c r="D5447" s="36"/>
      <c r="E5447" s="7" t="s">
        <v>40</v>
      </c>
      <c r="F5447" s="6"/>
    </row>
    <row r="5448" spans="1:6" ht="15.75" thickBot="1" x14ac:dyDescent="0.3">
      <c r="A5448" s="36"/>
      <c r="B5448" s="7" t="s">
        <v>36</v>
      </c>
      <c r="C5448" s="5">
        <f>IF(C5447="","",IF(AND(MONTH(C5447)&gt;=1,MONTH(C5447)&lt;=3),1,IF(AND(MONTH(C5447)&gt;=4,MONTH(C5447)&lt;=6),2,IF(AND(MONTH(C5447)&gt;=7,MONTH(C5447)&lt;=9),3,4))))</f>
        <v>3</v>
      </c>
      <c r="D5448" s="36"/>
      <c r="E5448" s="7" t="s">
        <v>41</v>
      </c>
      <c r="F5448" s="6"/>
    </row>
    <row r="5449" spans="1:6" ht="15.75" thickBot="1" x14ac:dyDescent="0.3">
      <c r="A5449" s="40"/>
      <c r="B5449" s="40"/>
      <c r="C5449" s="40"/>
      <c r="D5449" s="40"/>
      <c r="E5449" s="40"/>
      <c r="F5449" s="40"/>
    </row>
    <row r="5450" spans="1:6" ht="15.75" thickBot="1" x14ac:dyDescent="0.3">
      <c r="A5450" s="12" t="s">
        <v>42</v>
      </c>
      <c r="B5450" s="12" t="s">
        <v>43</v>
      </c>
      <c r="C5450" s="12" t="s">
        <v>44</v>
      </c>
      <c r="D5450" s="12" t="s">
        <v>45</v>
      </c>
      <c r="E5450" s="12" t="s">
        <v>46</v>
      </c>
      <c r="F5450" s="12" t="s">
        <v>47</v>
      </c>
    </row>
    <row r="5451" spans="1:6" x14ac:dyDescent="0.25">
      <c r="A5451" s="8">
        <v>49161608</v>
      </c>
      <c r="B5451" s="9" t="str">
        <f t="shared" ref="B5451:B5468" ca="1" si="108">IFERROR(INDEX(UNSPSCDes,MATCH(INDIRECT(ADDRESS(ROW(),COLUMN()-1,4)),UNSPSCCode,0)),"")</f>
        <v>Balones de voleibol</v>
      </c>
      <c r="C5451" s="33" t="s">
        <v>55</v>
      </c>
      <c r="D5451" s="8">
        <v>100</v>
      </c>
      <c r="E5451" s="11">
        <v>1593</v>
      </c>
      <c r="F5451" s="10">
        <f t="shared" ref="F5451:F5468" ca="1" si="109">INDIRECT(ADDRESS(ROW(),COLUMN()-2,4))*INDIRECT(ADDRESS(ROW(),COLUMN()-1,4))</f>
        <v>159300</v>
      </c>
    </row>
    <row r="5452" spans="1:6" x14ac:dyDescent="0.25">
      <c r="A5452" s="8">
        <v>49161603</v>
      </c>
      <c r="B5452" s="9" t="str">
        <f t="shared" ca="1" si="108"/>
        <v>Pelotas de básquetbol</v>
      </c>
      <c r="C5452" s="33" t="s">
        <v>55</v>
      </c>
      <c r="D5452" s="8">
        <v>30</v>
      </c>
      <c r="E5452" s="11">
        <v>1640</v>
      </c>
      <c r="F5452" s="10">
        <f t="shared" ca="1" si="109"/>
        <v>49200</v>
      </c>
    </row>
    <row r="5453" spans="1:6" x14ac:dyDescent="0.25">
      <c r="A5453" s="8">
        <v>49161603</v>
      </c>
      <c r="B5453" s="9" t="str">
        <f t="shared" ca="1" si="108"/>
        <v>Pelotas de básquetbol</v>
      </c>
      <c r="C5453" s="33" t="s">
        <v>55</v>
      </c>
      <c r="D5453" s="8">
        <v>100</v>
      </c>
      <c r="E5453" s="11">
        <v>1593</v>
      </c>
      <c r="F5453" s="10">
        <f t="shared" ca="1" si="109"/>
        <v>159300</v>
      </c>
    </row>
    <row r="5454" spans="1:6" x14ac:dyDescent="0.25">
      <c r="A5454" s="8">
        <v>49161503</v>
      </c>
      <c r="B5454" s="9" t="str">
        <f t="shared" ca="1" si="108"/>
        <v>Pelotas de beisbol</v>
      </c>
      <c r="C5454" s="33" t="s">
        <v>55</v>
      </c>
      <c r="D5454" s="8">
        <v>100</v>
      </c>
      <c r="E5454" s="11">
        <v>425</v>
      </c>
      <c r="F5454" s="10">
        <f t="shared" ca="1" si="109"/>
        <v>42500</v>
      </c>
    </row>
    <row r="5455" spans="1:6" x14ac:dyDescent="0.25">
      <c r="A5455" s="8">
        <v>49161509</v>
      </c>
      <c r="B5455" s="9" t="str">
        <f t="shared" ca="1" si="108"/>
        <v>Balones de softbol</v>
      </c>
      <c r="C5455" s="33" t="s">
        <v>55</v>
      </c>
      <c r="D5455" s="8">
        <v>100</v>
      </c>
      <c r="E5455" s="11">
        <v>477.9</v>
      </c>
      <c r="F5455" s="10">
        <f t="shared" ca="1" si="109"/>
        <v>47790</v>
      </c>
    </row>
    <row r="5456" spans="1:6" x14ac:dyDescent="0.25">
      <c r="A5456" s="8">
        <v>49161504</v>
      </c>
      <c r="B5456" s="9" t="str">
        <f t="shared" ca="1" si="108"/>
        <v>Balones de futbol</v>
      </c>
      <c r="C5456" s="33" t="s">
        <v>55</v>
      </c>
      <c r="D5456" s="8">
        <v>50</v>
      </c>
      <c r="E5456" s="11">
        <v>1593</v>
      </c>
      <c r="F5456" s="10">
        <f t="shared" ca="1" si="109"/>
        <v>79650</v>
      </c>
    </row>
    <row r="5457" spans="1:6" x14ac:dyDescent="0.25">
      <c r="A5457" s="8">
        <v>49161504</v>
      </c>
      <c r="B5457" s="9" t="str">
        <f t="shared" ca="1" si="108"/>
        <v>Balones de futbol</v>
      </c>
      <c r="C5457" s="33" t="s">
        <v>55</v>
      </c>
      <c r="D5457" s="8">
        <v>60</v>
      </c>
      <c r="E5457" s="11">
        <v>1593</v>
      </c>
      <c r="F5457" s="10">
        <f t="shared" ca="1" si="109"/>
        <v>95580</v>
      </c>
    </row>
    <row r="5458" spans="1:6" x14ac:dyDescent="0.25">
      <c r="A5458" s="8">
        <v>49221502</v>
      </c>
      <c r="B5458" s="9" t="str">
        <f t="shared" ca="1" si="108"/>
        <v>Porterías</v>
      </c>
      <c r="C5458" s="33" t="s">
        <v>55</v>
      </c>
      <c r="D5458" s="8">
        <v>30</v>
      </c>
      <c r="E5458" s="11">
        <v>1416</v>
      </c>
      <c r="F5458" s="10">
        <f t="shared" ca="1" si="109"/>
        <v>42480</v>
      </c>
    </row>
    <row r="5459" spans="1:6" x14ac:dyDescent="0.25">
      <c r="A5459" s="8">
        <v>49181509</v>
      </c>
      <c r="B5459" s="9" t="str">
        <f t="shared" ca="1" si="108"/>
        <v>Bolas de ping pong</v>
      </c>
      <c r="C5459" s="33" t="s">
        <v>55</v>
      </c>
      <c r="D5459" s="8">
        <v>100</v>
      </c>
      <c r="E5459" s="11">
        <v>94.4</v>
      </c>
      <c r="F5459" s="10">
        <f t="shared" ca="1" si="109"/>
        <v>9440</v>
      </c>
    </row>
    <row r="5460" spans="1:6" x14ac:dyDescent="0.25">
      <c r="A5460" s="8">
        <v>49161603</v>
      </c>
      <c r="B5460" s="9" t="str">
        <f t="shared" ca="1" si="108"/>
        <v>Pelotas de básquetbol</v>
      </c>
      <c r="C5460" s="33" t="s">
        <v>55</v>
      </c>
      <c r="D5460" s="8">
        <v>50</v>
      </c>
      <c r="E5460" s="11">
        <v>2950</v>
      </c>
      <c r="F5460" s="10">
        <f t="shared" ca="1" si="109"/>
        <v>147500</v>
      </c>
    </row>
    <row r="5461" spans="1:6" x14ac:dyDescent="0.25">
      <c r="A5461" s="8">
        <v>49161603</v>
      </c>
      <c r="B5461" s="9" t="str">
        <f t="shared" ca="1" si="108"/>
        <v>Pelotas de básquetbol</v>
      </c>
      <c r="C5461" s="33" t="s">
        <v>55</v>
      </c>
      <c r="D5461" s="8">
        <v>25</v>
      </c>
      <c r="E5461" s="11">
        <v>3304</v>
      </c>
      <c r="F5461" s="10">
        <f t="shared" ca="1" si="109"/>
        <v>82600</v>
      </c>
    </row>
    <row r="5462" spans="1:6" x14ac:dyDescent="0.25">
      <c r="A5462" s="8">
        <v>49161503</v>
      </c>
      <c r="B5462" s="9" t="str">
        <f t="shared" ca="1" si="108"/>
        <v>Pelotas de beisbol</v>
      </c>
      <c r="C5462" s="33" t="s">
        <v>55</v>
      </c>
      <c r="D5462" s="8">
        <v>25</v>
      </c>
      <c r="E5462" s="11">
        <v>295</v>
      </c>
      <c r="F5462" s="10">
        <f t="shared" ca="1" si="109"/>
        <v>7375</v>
      </c>
    </row>
    <row r="5463" spans="1:6" x14ac:dyDescent="0.25">
      <c r="A5463" s="8">
        <v>49221507</v>
      </c>
      <c r="B5463" s="9" t="str">
        <f t="shared" ca="1" si="108"/>
        <v>Tableros de basquetbol</v>
      </c>
      <c r="C5463" s="33" t="s">
        <v>55</v>
      </c>
      <c r="D5463" s="8">
        <v>10</v>
      </c>
      <c r="E5463" s="11">
        <v>41300</v>
      </c>
      <c r="F5463" s="10">
        <f t="shared" ca="1" si="109"/>
        <v>413000</v>
      </c>
    </row>
    <row r="5464" spans="1:6" x14ac:dyDescent="0.25">
      <c r="A5464" s="8">
        <v>49221505</v>
      </c>
      <c r="B5464" s="9" t="str">
        <f t="shared" ca="1" si="108"/>
        <v>Mallas o redes para deportes</v>
      </c>
      <c r="C5464" s="33" t="s">
        <v>55</v>
      </c>
      <c r="D5464" s="8">
        <v>25</v>
      </c>
      <c r="E5464" s="11">
        <v>241.9</v>
      </c>
      <c r="F5464" s="10">
        <f t="shared" ca="1" si="109"/>
        <v>6047.5</v>
      </c>
    </row>
    <row r="5465" spans="1:6" x14ac:dyDescent="0.25">
      <c r="A5465" s="8">
        <v>49161506</v>
      </c>
      <c r="B5465" s="9" t="str">
        <f t="shared" ca="1" si="108"/>
        <v>Bates de beisbol</v>
      </c>
      <c r="C5465" s="33" t="s">
        <v>55</v>
      </c>
      <c r="D5465" s="8">
        <v>25</v>
      </c>
      <c r="E5465" s="11">
        <v>5074</v>
      </c>
      <c r="F5465" s="10">
        <f t="shared" ca="1" si="109"/>
        <v>126850</v>
      </c>
    </row>
    <row r="5466" spans="1:6" x14ac:dyDescent="0.25">
      <c r="A5466" s="8">
        <v>49161520</v>
      </c>
      <c r="B5466" s="9" t="str">
        <f t="shared" ca="1" si="108"/>
        <v>Bates de softbol</v>
      </c>
      <c r="C5466" s="33" t="s">
        <v>55</v>
      </c>
      <c r="D5466" s="8">
        <v>10</v>
      </c>
      <c r="E5466" s="11">
        <v>4277.5</v>
      </c>
      <c r="F5466" s="10">
        <f t="shared" ca="1" si="109"/>
        <v>42775</v>
      </c>
    </row>
    <row r="5467" spans="1:6" x14ac:dyDescent="0.25">
      <c r="A5467" s="8">
        <v>49161608</v>
      </c>
      <c r="B5467" s="9" t="str">
        <f t="shared" ca="1" si="108"/>
        <v>Balones de voleibol</v>
      </c>
      <c r="C5467" s="33" t="s">
        <v>55</v>
      </c>
      <c r="D5467" s="8">
        <v>50</v>
      </c>
      <c r="E5467" s="11">
        <v>1800</v>
      </c>
      <c r="F5467" s="10">
        <f t="shared" ca="1" si="109"/>
        <v>90000</v>
      </c>
    </row>
    <row r="5468" spans="1:6" x14ac:dyDescent="0.25">
      <c r="A5468" s="8">
        <v>49161506</v>
      </c>
      <c r="B5468" s="9" t="str">
        <f t="shared" ca="1" si="108"/>
        <v>Bates de beisbol</v>
      </c>
      <c r="C5468" s="33" t="s">
        <v>55</v>
      </c>
      <c r="D5468" s="8">
        <v>15</v>
      </c>
      <c r="E5468" s="11">
        <v>4074</v>
      </c>
      <c r="F5468" s="10">
        <f t="shared" ca="1" si="109"/>
        <v>61110</v>
      </c>
    </row>
    <row r="5469" spans="1:6" x14ac:dyDescent="0.25">
      <c r="A5469" s="40"/>
      <c r="B5469" s="40"/>
      <c r="C5469" s="40"/>
      <c r="D5469" s="40"/>
      <c r="E5469" s="13" t="s">
        <v>87</v>
      </c>
      <c r="F5469" s="14">
        <f ca="1">SUM(Table3152211[MONTO TOTAL ESTIMADO])</f>
        <v>1662497.5</v>
      </c>
    </row>
    <row r="5470" spans="1:6" ht="15.75" thickBot="1" x14ac:dyDescent="0.3">
      <c r="A5470" s="42"/>
      <c r="B5470" s="42"/>
      <c r="C5470" s="42"/>
      <c r="D5470" s="42"/>
      <c r="E5470" s="42"/>
      <c r="F5470" s="42"/>
    </row>
    <row r="5471" spans="1:6" ht="23.25" thickBot="1" x14ac:dyDescent="0.3">
      <c r="A5471" s="4" t="s">
        <v>19</v>
      </c>
      <c r="B5471" s="4" t="s">
        <v>20</v>
      </c>
      <c r="C5471" s="4" t="s">
        <v>21</v>
      </c>
      <c r="D5471" s="4" t="s">
        <v>22</v>
      </c>
      <c r="E5471" s="4" t="s">
        <v>23</v>
      </c>
      <c r="F5471" s="4" t="s">
        <v>24</v>
      </c>
    </row>
    <row r="5472" spans="1:6" ht="15.75" thickBot="1" x14ac:dyDescent="0.3">
      <c r="A5472" s="32" t="s">
        <v>533</v>
      </c>
      <c r="B5472" s="32" t="s">
        <v>534</v>
      </c>
      <c r="C5472" s="32" t="s">
        <v>27</v>
      </c>
      <c r="D5472" s="6" t="s">
        <v>28</v>
      </c>
      <c r="E5472" s="6" t="s">
        <v>262</v>
      </c>
      <c r="F5472" s="6"/>
    </row>
    <row r="5473" spans="1:6" ht="15.75" thickBot="1" x14ac:dyDescent="0.3">
      <c r="A5473" s="35" t="s">
        <v>31</v>
      </c>
      <c r="B5473" s="7" t="s">
        <v>32</v>
      </c>
      <c r="C5473" s="15">
        <v>45474</v>
      </c>
      <c r="D5473" s="35" t="s">
        <v>33</v>
      </c>
      <c r="E5473" s="7" t="s">
        <v>34</v>
      </c>
      <c r="F5473" s="6"/>
    </row>
    <row r="5474" spans="1:6" ht="15.75" thickBot="1" x14ac:dyDescent="0.3">
      <c r="A5474" s="36"/>
      <c r="B5474" s="7" t="s">
        <v>36</v>
      </c>
      <c r="C5474" s="5">
        <f>IF(C5473="","",IF(AND(MONTH(C5473)&gt;=1,MONTH(C5473)&lt;=3),1,IF(AND(MONTH(C5473)&gt;=4,MONTH(C5473)&lt;=6),2,IF(AND(MONTH(C5473)&gt;=7,MONTH(C5473)&lt;=9),3,4))))</f>
        <v>3</v>
      </c>
      <c r="D5474" s="36"/>
      <c r="E5474" s="7" t="s">
        <v>37</v>
      </c>
      <c r="F5474" s="6"/>
    </row>
    <row r="5475" spans="1:6" ht="15.75" thickBot="1" x14ac:dyDescent="0.3">
      <c r="A5475" s="36"/>
      <c r="B5475" s="7" t="s">
        <v>39</v>
      </c>
      <c r="C5475" s="15">
        <v>45565</v>
      </c>
      <c r="D5475" s="36"/>
      <c r="E5475" s="7" t="s">
        <v>40</v>
      </c>
      <c r="F5475" s="6"/>
    </row>
    <row r="5476" spans="1:6" ht="15.75" thickBot="1" x14ac:dyDescent="0.3">
      <c r="A5476" s="36"/>
      <c r="B5476" s="7" t="s">
        <v>36</v>
      </c>
      <c r="C5476" s="5">
        <f>IF(C5475="","",IF(AND(MONTH(C5475)&gt;=1,MONTH(C5475)&lt;=3),1,IF(AND(MONTH(C5475)&gt;=4,MONTH(C5475)&lt;=6),2,IF(AND(MONTH(C5475)&gt;=7,MONTH(C5475)&lt;=9),3,4))))</f>
        <v>3</v>
      </c>
      <c r="D5476" s="36"/>
      <c r="E5476" s="7" t="s">
        <v>41</v>
      </c>
      <c r="F5476" s="6"/>
    </row>
    <row r="5477" spans="1:6" ht="15.75" thickBot="1" x14ac:dyDescent="0.3">
      <c r="A5477" s="40"/>
      <c r="B5477" s="40"/>
      <c r="C5477" s="40"/>
      <c r="D5477" s="40"/>
      <c r="E5477" s="40"/>
      <c r="F5477" s="40"/>
    </row>
    <row r="5478" spans="1:6" ht="15.75" thickBot="1" x14ac:dyDescent="0.3">
      <c r="A5478" s="12" t="s">
        <v>42</v>
      </c>
      <c r="B5478" s="12" t="s">
        <v>43</v>
      </c>
      <c r="C5478" s="12" t="s">
        <v>44</v>
      </c>
      <c r="D5478" s="12" t="s">
        <v>45</v>
      </c>
      <c r="E5478" s="12" t="s">
        <v>46</v>
      </c>
      <c r="F5478" s="12" t="s">
        <v>47</v>
      </c>
    </row>
    <row r="5479" spans="1:6" x14ac:dyDescent="0.25">
      <c r="A5479" s="8">
        <v>50202301</v>
      </c>
      <c r="B5479" s="9" t="str">
        <f ca="1">IFERROR(INDEX(UNSPSCDes,MATCH(INDIRECT(ADDRESS(ROW(),COLUMN()-1,4)),UNSPSCCode,0)),"")</f>
        <v>Agua</v>
      </c>
      <c r="C5479" s="33" t="s">
        <v>55</v>
      </c>
      <c r="D5479" s="8">
        <v>10000</v>
      </c>
      <c r="E5479" s="11">
        <v>160</v>
      </c>
      <c r="F5479" s="10">
        <f ca="1">INDIRECT(ADDRESS(ROW(),COLUMN()-2,4))*INDIRECT(ADDRESS(ROW(),COLUMN()-1,4))</f>
        <v>1600000</v>
      </c>
    </row>
    <row r="5480" spans="1:6" x14ac:dyDescent="0.25">
      <c r="A5480" s="40"/>
      <c r="B5480" s="40"/>
      <c r="C5480" s="40"/>
      <c r="D5480" s="40"/>
      <c r="E5480" s="13" t="s">
        <v>87</v>
      </c>
      <c r="F5480" s="14">
        <f ca="1">SUM(Table3153212[MONTO TOTAL ESTIMADO])</f>
        <v>1600000</v>
      </c>
    </row>
    <row r="5481" spans="1:6" ht="15.75" thickBot="1" x14ac:dyDescent="0.3">
      <c r="A5481" s="42"/>
      <c r="B5481" s="42"/>
      <c r="C5481" s="42"/>
      <c r="D5481" s="42"/>
      <c r="E5481" s="42"/>
      <c r="F5481" s="42"/>
    </row>
    <row r="5482" spans="1:6" ht="23.25" thickBot="1" x14ac:dyDescent="0.3">
      <c r="A5482" s="4" t="s">
        <v>19</v>
      </c>
      <c r="B5482" s="4" t="s">
        <v>20</v>
      </c>
      <c r="C5482" s="4" t="s">
        <v>21</v>
      </c>
      <c r="D5482" s="4" t="s">
        <v>22</v>
      </c>
      <c r="E5482" s="4" t="s">
        <v>23</v>
      </c>
      <c r="F5482" s="4" t="s">
        <v>24</v>
      </c>
    </row>
    <row r="5483" spans="1:6" ht="15.75" thickBot="1" x14ac:dyDescent="0.3">
      <c r="A5483" s="32" t="s">
        <v>510</v>
      </c>
      <c r="B5483" s="32" t="s">
        <v>511</v>
      </c>
      <c r="C5483" s="32" t="s">
        <v>27</v>
      </c>
      <c r="D5483" s="6" t="s">
        <v>28</v>
      </c>
      <c r="E5483" s="6" t="s">
        <v>262</v>
      </c>
      <c r="F5483" s="6"/>
    </row>
    <row r="5484" spans="1:6" ht="15.75" thickBot="1" x14ac:dyDescent="0.3">
      <c r="A5484" s="35" t="s">
        <v>31</v>
      </c>
      <c r="B5484" s="7" t="s">
        <v>32</v>
      </c>
      <c r="C5484" s="15">
        <v>45474</v>
      </c>
      <c r="D5484" s="35" t="s">
        <v>33</v>
      </c>
      <c r="E5484" s="7" t="s">
        <v>34</v>
      </c>
      <c r="F5484" s="6"/>
    </row>
    <row r="5485" spans="1:6" ht="15.75" thickBot="1" x14ac:dyDescent="0.3">
      <c r="A5485" s="36"/>
      <c r="B5485" s="7" t="s">
        <v>36</v>
      </c>
      <c r="C5485" s="5">
        <f>IF(C5484="","",IF(AND(MONTH(C5484)&gt;=1,MONTH(C5484)&lt;=3),1,IF(AND(MONTH(C5484)&gt;=4,MONTH(C5484)&lt;=6),2,IF(AND(MONTH(C5484)&gt;=7,MONTH(C5484)&lt;=9),3,4))))</f>
        <v>3</v>
      </c>
      <c r="D5485" s="36"/>
      <c r="E5485" s="7" t="s">
        <v>37</v>
      </c>
      <c r="F5485" s="6"/>
    </row>
    <row r="5486" spans="1:6" ht="15.75" thickBot="1" x14ac:dyDescent="0.3">
      <c r="A5486" s="36"/>
      <c r="B5486" s="7" t="s">
        <v>39</v>
      </c>
      <c r="C5486" s="15">
        <v>45565</v>
      </c>
      <c r="D5486" s="36"/>
      <c r="E5486" s="7" t="s">
        <v>40</v>
      </c>
      <c r="F5486" s="6"/>
    </row>
    <row r="5487" spans="1:6" ht="15.75" thickBot="1" x14ac:dyDescent="0.3">
      <c r="A5487" s="36"/>
      <c r="B5487" s="7" t="s">
        <v>36</v>
      </c>
      <c r="C5487" s="5">
        <f>IF(C5486="","",IF(AND(MONTH(C5486)&gt;=1,MONTH(C5486)&lt;=3),1,IF(AND(MONTH(C5486)&gt;=4,MONTH(C5486)&lt;=6),2,IF(AND(MONTH(C5486)&gt;=7,MONTH(C5486)&lt;=9),3,4))))</f>
        <v>3</v>
      </c>
      <c r="D5487" s="36"/>
      <c r="E5487" s="7" t="s">
        <v>41</v>
      </c>
      <c r="F5487" s="6"/>
    </row>
    <row r="5488" spans="1:6" ht="15.75" thickBot="1" x14ac:dyDescent="0.3">
      <c r="A5488" s="40"/>
      <c r="B5488" s="40"/>
      <c r="C5488" s="40"/>
      <c r="D5488" s="40"/>
      <c r="E5488" s="40"/>
      <c r="F5488" s="40"/>
    </row>
    <row r="5489" spans="1:6" ht="15.75" thickBot="1" x14ac:dyDescent="0.3">
      <c r="A5489" s="12" t="s">
        <v>42</v>
      </c>
      <c r="B5489" s="12" t="s">
        <v>43</v>
      </c>
      <c r="C5489" s="12" t="s">
        <v>44</v>
      </c>
      <c r="D5489" s="12" t="s">
        <v>45</v>
      </c>
      <c r="E5489" s="12" t="s">
        <v>46</v>
      </c>
      <c r="F5489" s="12" t="s">
        <v>47</v>
      </c>
    </row>
    <row r="5490" spans="1:6" x14ac:dyDescent="0.25">
      <c r="A5490" s="8">
        <v>49161608</v>
      </c>
      <c r="B5490" s="9" t="str">
        <f t="shared" ref="B5490:B5507" ca="1" si="110">IFERROR(INDEX(UNSPSCDes,MATCH(INDIRECT(ADDRESS(ROW(),COLUMN()-1,4)),UNSPSCCode,0)),"")</f>
        <v>Balones de voleibol</v>
      </c>
      <c r="C5490" s="33" t="s">
        <v>55</v>
      </c>
      <c r="D5490" s="8">
        <v>100</v>
      </c>
      <c r="E5490" s="11">
        <v>1593</v>
      </c>
      <c r="F5490" s="10">
        <f t="shared" ref="F5490:F5507" ca="1" si="111">INDIRECT(ADDRESS(ROW(),COLUMN()-2,4))*INDIRECT(ADDRESS(ROW(),COLUMN()-1,4))</f>
        <v>159300</v>
      </c>
    </row>
    <row r="5491" spans="1:6" x14ac:dyDescent="0.25">
      <c r="A5491" s="8">
        <v>49161603</v>
      </c>
      <c r="B5491" s="9" t="str">
        <f t="shared" ca="1" si="110"/>
        <v>Pelotas de básquetbol</v>
      </c>
      <c r="C5491" s="33" t="s">
        <v>55</v>
      </c>
      <c r="D5491" s="8">
        <v>30</v>
      </c>
      <c r="E5491" s="11">
        <v>1640</v>
      </c>
      <c r="F5491" s="10">
        <f t="shared" ca="1" si="111"/>
        <v>49200</v>
      </c>
    </row>
    <row r="5492" spans="1:6" x14ac:dyDescent="0.25">
      <c r="A5492" s="8">
        <v>49161603</v>
      </c>
      <c r="B5492" s="9" t="str">
        <f t="shared" ca="1" si="110"/>
        <v>Pelotas de básquetbol</v>
      </c>
      <c r="C5492" s="33" t="s">
        <v>55</v>
      </c>
      <c r="D5492" s="8">
        <v>100</v>
      </c>
      <c r="E5492" s="11">
        <v>1593</v>
      </c>
      <c r="F5492" s="10">
        <f t="shared" ca="1" si="111"/>
        <v>159300</v>
      </c>
    </row>
    <row r="5493" spans="1:6" x14ac:dyDescent="0.25">
      <c r="A5493" s="8">
        <v>49161503</v>
      </c>
      <c r="B5493" s="9" t="str">
        <f t="shared" ca="1" si="110"/>
        <v>Pelotas de beisbol</v>
      </c>
      <c r="C5493" s="33" t="s">
        <v>55</v>
      </c>
      <c r="D5493" s="8">
        <v>100</v>
      </c>
      <c r="E5493" s="11">
        <v>425</v>
      </c>
      <c r="F5493" s="10">
        <f t="shared" ca="1" si="111"/>
        <v>42500</v>
      </c>
    </row>
    <row r="5494" spans="1:6" x14ac:dyDescent="0.25">
      <c r="A5494" s="8">
        <v>49161509</v>
      </c>
      <c r="B5494" s="9" t="str">
        <f t="shared" ca="1" si="110"/>
        <v>Balones de softbol</v>
      </c>
      <c r="C5494" s="33" t="s">
        <v>55</v>
      </c>
      <c r="D5494" s="8">
        <v>100</v>
      </c>
      <c r="E5494" s="11">
        <v>477.9</v>
      </c>
      <c r="F5494" s="10">
        <f t="shared" ca="1" si="111"/>
        <v>47790</v>
      </c>
    </row>
    <row r="5495" spans="1:6" x14ac:dyDescent="0.25">
      <c r="A5495" s="8">
        <v>49161504</v>
      </c>
      <c r="B5495" s="9" t="str">
        <f t="shared" ca="1" si="110"/>
        <v>Balones de futbol</v>
      </c>
      <c r="C5495" s="33" t="s">
        <v>55</v>
      </c>
      <c r="D5495" s="8">
        <v>50</v>
      </c>
      <c r="E5495" s="11">
        <v>1593</v>
      </c>
      <c r="F5495" s="10">
        <f t="shared" ca="1" si="111"/>
        <v>79650</v>
      </c>
    </row>
    <row r="5496" spans="1:6" x14ac:dyDescent="0.25">
      <c r="A5496" s="8">
        <v>49161504</v>
      </c>
      <c r="B5496" s="9" t="str">
        <f t="shared" ca="1" si="110"/>
        <v>Balones de futbol</v>
      </c>
      <c r="C5496" s="33" t="s">
        <v>55</v>
      </c>
      <c r="D5496" s="8">
        <v>60</v>
      </c>
      <c r="E5496" s="11">
        <v>1593</v>
      </c>
      <c r="F5496" s="10">
        <f t="shared" ca="1" si="111"/>
        <v>95580</v>
      </c>
    </row>
    <row r="5497" spans="1:6" x14ac:dyDescent="0.25">
      <c r="A5497" s="8">
        <v>49221502</v>
      </c>
      <c r="B5497" s="9" t="str">
        <f t="shared" ca="1" si="110"/>
        <v>Porterías</v>
      </c>
      <c r="C5497" s="33" t="s">
        <v>55</v>
      </c>
      <c r="D5497" s="8">
        <v>30</v>
      </c>
      <c r="E5497" s="11">
        <v>1416</v>
      </c>
      <c r="F5497" s="10">
        <f t="shared" ca="1" si="111"/>
        <v>42480</v>
      </c>
    </row>
    <row r="5498" spans="1:6" x14ac:dyDescent="0.25">
      <c r="A5498" s="8">
        <v>49181509</v>
      </c>
      <c r="B5498" s="9" t="str">
        <f t="shared" ca="1" si="110"/>
        <v>Bolas de ping pong</v>
      </c>
      <c r="C5498" s="33" t="s">
        <v>55</v>
      </c>
      <c r="D5498" s="8">
        <v>100</v>
      </c>
      <c r="E5498" s="11">
        <v>94.4</v>
      </c>
      <c r="F5498" s="10">
        <f t="shared" ca="1" si="111"/>
        <v>9440</v>
      </c>
    </row>
    <row r="5499" spans="1:6" x14ac:dyDescent="0.25">
      <c r="A5499" s="8">
        <v>49161603</v>
      </c>
      <c r="B5499" s="9" t="str">
        <f t="shared" ca="1" si="110"/>
        <v>Pelotas de básquetbol</v>
      </c>
      <c r="C5499" s="33" t="s">
        <v>55</v>
      </c>
      <c r="D5499" s="8">
        <v>50</v>
      </c>
      <c r="E5499" s="11">
        <v>2950</v>
      </c>
      <c r="F5499" s="10">
        <f t="shared" ca="1" si="111"/>
        <v>147500</v>
      </c>
    </row>
    <row r="5500" spans="1:6" x14ac:dyDescent="0.25">
      <c r="A5500" s="8">
        <v>49161603</v>
      </c>
      <c r="B5500" s="9" t="str">
        <f t="shared" ca="1" si="110"/>
        <v>Pelotas de básquetbol</v>
      </c>
      <c r="C5500" s="33" t="s">
        <v>55</v>
      </c>
      <c r="D5500" s="8">
        <v>25</v>
      </c>
      <c r="E5500" s="11">
        <v>3304</v>
      </c>
      <c r="F5500" s="10">
        <f t="shared" ca="1" si="111"/>
        <v>82600</v>
      </c>
    </row>
    <row r="5501" spans="1:6" x14ac:dyDescent="0.25">
      <c r="A5501" s="8">
        <v>49161503</v>
      </c>
      <c r="B5501" s="9" t="str">
        <f t="shared" ca="1" si="110"/>
        <v>Pelotas de beisbol</v>
      </c>
      <c r="C5501" s="33" t="s">
        <v>55</v>
      </c>
      <c r="D5501" s="8">
        <v>25</v>
      </c>
      <c r="E5501" s="11">
        <v>295</v>
      </c>
      <c r="F5501" s="10">
        <f t="shared" ca="1" si="111"/>
        <v>7375</v>
      </c>
    </row>
    <row r="5502" spans="1:6" x14ac:dyDescent="0.25">
      <c r="A5502" s="8">
        <v>49221507</v>
      </c>
      <c r="B5502" s="9" t="str">
        <f t="shared" ca="1" si="110"/>
        <v>Tableros de basquetbol</v>
      </c>
      <c r="C5502" s="33" t="s">
        <v>55</v>
      </c>
      <c r="D5502" s="8">
        <v>10</v>
      </c>
      <c r="E5502" s="11">
        <v>41300</v>
      </c>
      <c r="F5502" s="10">
        <f t="shared" ca="1" si="111"/>
        <v>413000</v>
      </c>
    </row>
    <row r="5503" spans="1:6" x14ac:dyDescent="0.25">
      <c r="A5503" s="8">
        <v>49221505</v>
      </c>
      <c r="B5503" s="9" t="str">
        <f t="shared" ca="1" si="110"/>
        <v>Mallas o redes para deportes</v>
      </c>
      <c r="C5503" s="33" t="s">
        <v>55</v>
      </c>
      <c r="D5503" s="8">
        <v>25</v>
      </c>
      <c r="E5503" s="11">
        <v>241.9</v>
      </c>
      <c r="F5503" s="10">
        <f t="shared" ca="1" si="111"/>
        <v>6047.5</v>
      </c>
    </row>
    <row r="5504" spans="1:6" x14ac:dyDescent="0.25">
      <c r="A5504" s="8">
        <v>49161506</v>
      </c>
      <c r="B5504" s="9" t="str">
        <f t="shared" ca="1" si="110"/>
        <v>Bates de beisbol</v>
      </c>
      <c r="C5504" s="33" t="s">
        <v>55</v>
      </c>
      <c r="D5504" s="8">
        <v>25</v>
      </c>
      <c r="E5504" s="11">
        <v>5074</v>
      </c>
      <c r="F5504" s="10">
        <f t="shared" ca="1" si="111"/>
        <v>126850</v>
      </c>
    </row>
    <row r="5505" spans="1:6" x14ac:dyDescent="0.25">
      <c r="A5505" s="8">
        <v>49161520</v>
      </c>
      <c r="B5505" s="9" t="str">
        <f t="shared" ca="1" si="110"/>
        <v>Bates de softbol</v>
      </c>
      <c r="C5505" s="33" t="s">
        <v>55</v>
      </c>
      <c r="D5505" s="8">
        <v>10</v>
      </c>
      <c r="E5505" s="11">
        <v>4277.5</v>
      </c>
      <c r="F5505" s="10">
        <f t="shared" ca="1" si="111"/>
        <v>42775</v>
      </c>
    </row>
    <row r="5506" spans="1:6" x14ac:dyDescent="0.25">
      <c r="A5506" s="8">
        <v>49161608</v>
      </c>
      <c r="B5506" s="9" t="str">
        <f t="shared" ca="1" si="110"/>
        <v>Balones de voleibol</v>
      </c>
      <c r="C5506" s="33" t="s">
        <v>55</v>
      </c>
      <c r="D5506" s="8">
        <v>50</v>
      </c>
      <c r="E5506" s="11">
        <v>1800</v>
      </c>
      <c r="F5506" s="10">
        <f t="shared" ca="1" si="111"/>
        <v>90000</v>
      </c>
    </row>
    <row r="5507" spans="1:6" x14ac:dyDescent="0.25">
      <c r="A5507" s="8">
        <v>49161506</v>
      </c>
      <c r="B5507" s="9" t="str">
        <f t="shared" ca="1" si="110"/>
        <v>Bates de beisbol</v>
      </c>
      <c r="C5507" s="33" t="s">
        <v>55</v>
      </c>
      <c r="D5507" s="8">
        <v>15</v>
      </c>
      <c r="E5507" s="11">
        <v>4074</v>
      </c>
      <c r="F5507" s="10">
        <f t="shared" ca="1" si="111"/>
        <v>61110</v>
      </c>
    </row>
    <row r="5508" spans="1:6" x14ac:dyDescent="0.25">
      <c r="A5508" s="40"/>
      <c r="B5508" s="40"/>
      <c r="C5508" s="40"/>
      <c r="D5508" s="40"/>
      <c r="E5508" s="13" t="s">
        <v>87</v>
      </c>
      <c r="F5508" s="14">
        <f ca="1">SUM(Table3154213[MONTO TOTAL ESTIMADO])</f>
        <v>1662497.5</v>
      </c>
    </row>
    <row r="5509" spans="1:6" ht="15.75" thickBot="1" x14ac:dyDescent="0.3">
      <c r="A5509" s="42"/>
      <c r="B5509" s="42"/>
      <c r="C5509" s="42"/>
      <c r="D5509" s="42"/>
      <c r="E5509" s="42"/>
      <c r="F5509" s="42"/>
    </row>
    <row r="5510" spans="1:6" ht="23.25" thickBot="1" x14ac:dyDescent="0.3">
      <c r="A5510" s="4" t="s">
        <v>19</v>
      </c>
      <c r="B5510" s="4" t="s">
        <v>20</v>
      </c>
      <c r="C5510" s="4" t="s">
        <v>21</v>
      </c>
      <c r="D5510" s="4" t="s">
        <v>22</v>
      </c>
      <c r="E5510" s="4" t="s">
        <v>23</v>
      </c>
      <c r="F5510" s="4" t="s">
        <v>24</v>
      </c>
    </row>
    <row r="5511" spans="1:6" ht="15.75" thickBot="1" x14ac:dyDescent="0.3">
      <c r="A5511" s="32" t="s">
        <v>535</v>
      </c>
      <c r="B5511" s="32" t="s">
        <v>536</v>
      </c>
      <c r="C5511" s="32" t="s">
        <v>27</v>
      </c>
      <c r="D5511" s="6" t="s">
        <v>28</v>
      </c>
      <c r="E5511" s="6" t="s">
        <v>262</v>
      </c>
      <c r="F5511" s="6"/>
    </row>
    <row r="5512" spans="1:6" ht="15.75" thickBot="1" x14ac:dyDescent="0.3">
      <c r="A5512" s="35" t="s">
        <v>31</v>
      </c>
      <c r="B5512" s="7" t="s">
        <v>32</v>
      </c>
      <c r="C5512" s="15">
        <v>45474</v>
      </c>
      <c r="D5512" s="35" t="s">
        <v>33</v>
      </c>
      <c r="E5512" s="7" t="s">
        <v>34</v>
      </c>
      <c r="F5512" s="6"/>
    </row>
    <row r="5513" spans="1:6" ht="15.75" thickBot="1" x14ac:dyDescent="0.3">
      <c r="A5513" s="36"/>
      <c r="B5513" s="7" t="s">
        <v>36</v>
      </c>
      <c r="C5513" s="5">
        <f>IF(C5512="","",IF(AND(MONTH(C5512)&gt;=1,MONTH(C5512)&lt;=3),1,IF(AND(MONTH(C5512)&gt;=4,MONTH(C5512)&lt;=6),2,IF(AND(MONTH(C5512)&gt;=7,MONTH(C5512)&lt;=9),3,4))))</f>
        <v>3</v>
      </c>
      <c r="D5513" s="36"/>
      <c r="E5513" s="7" t="s">
        <v>37</v>
      </c>
      <c r="F5513" s="6"/>
    </row>
    <row r="5514" spans="1:6" ht="15.75" thickBot="1" x14ac:dyDescent="0.3">
      <c r="A5514" s="36"/>
      <c r="B5514" s="7" t="s">
        <v>39</v>
      </c>
      <c r="C5514" s="15">
        <v>45565</v>
      </c>
      <c r="D5514" s="36"/>
      <c r="E5514" s="7" t="s">
        <v>40</v>
      </c>
      <c r="F5514" s="6"/>
    </row>
    <row r="5515" spans="1:6" ht="15.75" thickBot="1" x14ac:dyDescent="0.3">
      <c r="A5515" s="36"/>
      <c r="B5515" s="7" t="s">
        <v>36</v>
      </c>
      <c r="C5515" s="5">
        <f>IF(C5514="","",IF(AND(MONTH(C5514)&gt;=1,MONTH(C5514)&lt;=3),1,IF(AND(MONTH(C5514)&gt;=4,MONTH(C5514)&lt;=6),2,IF(AND(MONTH(C5514)&gt;=7,MONTH(C5514)&lt;=9),3,4))))</f>
        <v>3</v>
      </c>
      <c r="D5515" s="36"/>
      <c r="E5515" s="7" t="s">
        <v>41</v>
      </c>
      <c r="F5515" s="6"/>
    </row>
    <row r="5516" spans="1:6" ht="15.75" thickBot="1" x14ac:dyDescent="0.3">
      <c r="A5516" s="40"/>
      <c r="B5516" s="40"/>
      <c r="C5516" s="40"/>
      <c r="D5516" s="40"/>
      <c r="E5516" s="40"/>
      <c r="F5516" s="40"/>
    </row>
    <row r="5517" spans="1:6" ht="15.75" thickBot="1" x14ac:dyDescent="0.3">
      <c r="A5517" s="12" t="s">
        <v>42</v>
      </c>
      <c r="B5517" s="12" t="s">
        <v>43</v>
      </c>
      <c r="C5517" s="12" t="s">
        <v>44</v>
      </c>
      <c r="D5517" s="12" t="s">
        <v>45</v>
      </c>
      <c r="E5517" s="12" t="s">
        <v>46</v>
      </c>
      <c r="F5517" s="12" t="s">
        <v>47</v>
      </c>
    </row>
    <row r="5518" spans="1:6" x14ac:dyDescent="0.25">
      <c r="A5518" s="8">
        <v>60101401</v>
      </c>
      <c r="B5518" s="9" t="str">
        <f ca="1">IFERROR(INDEX(UNSPSCDes,MATCH(INDIRECT(ADDRESS(ROW(),COLUMN()-1,4)),UNSPSCCode,0)),"")</f>
        <v>Insignias</v>
      </c>
      <c r="C5518" s="33" t="s">
        <v>55</v>
      </c>
      <c r="D5518" s="8">
        <v>1500</v>
      </c>
      <c r="E5518" s="11">
        <v>650</v>
      </c>
      <c r="F5518" s="10">
        <f ca="1">INDIRECT(ADDRESS(ROW(),COLUMN()-2,4))*INDIRECT(ADDRESS(ROW(),COLUMN()-1,4))</f>
        <v>975000</v>
      </c>
    </row>
    <row r="5519" spans="1:6" x14ac:dyDescent="0.25">
      <c r="A5519" s="8">
        <v>60101401</v>
      </c>
      <c r="B5519" s="9" t="str">
        <f ca="1">IFERROR(INDEX(UNSPSCDes,MATCH(INDIRECT(ADDRESS(ROW(),COLUMN()-1,4)),UNSPSCCode,0)),"")</f>
        <v>Insignias</v>
      </c>
      <c r="C5519" s="33" t="s">
        <v>55</v>
      </c>
      <c r="D5519" s="8">
        <v>1000</v>
      </c>
      <c r="E5519" s="11">
        <v>650</v>
      </c>
      <c r="F5519" s="10">
        <f ca="1">INDIRECT(ADDRESS(ROW(),COLUMN()-2,4))*INDIRECT(ADDRESS(ROW(),COLUMN()-1,4))</f>
        <v>650000</v>
      </c>
    </row>
    <row r="5520" spans="1:6" x14ac:dyDescent="0.25">
      <c r="A5520" s="40"/>
      <c r="B5520" s="40"/>
      <c r="C5520" s="40"/>
      <c r="D5520" s="40"/>
      <c r="E5520" s="13" t="s">
        <v>87</v>
      </c>
      <c r="F5520" s="14">
        <f ca="1">SUM(Table3155214[MONTO TOTAL ESTIMADO])</f>
        <v>1625000</v>
      </c>
    </row>
    <row r="5521" spans="1:6" ht="15.75" thickBot="1" x14ac:dyDescent="0.3">
      <c r="A5521" s="42"/>
      <c r="B5521" s="42"/>
      <c r="C5521" s="42"/>
      <c r="D5521" s="42"/>
      <c r="E5521" s="42"/>
      <c r="F5521" s="42"/>
    </row>
    <row r="5522" spans="1:6" ht="23.25" thickBot="1" x14ac:dyDescent="0.3">
      <c r="A5522" s="4" t="s">
        <v>19</v>
      </c>
      <c r="B5522" s="4" t="s">
        <v>20</v>
      </c>
      <c r="C5522" s="4" t="s">
        <v>21</v>
      </c>
      <c r="D5522" s="4" t="s">
        <v>22</v>
      </c>
      <c r="E5522" s="4" t="s">
        <v>23</v>
      </c>
      <c r="F5522" s="4" t="s">
        <v>24</v>
      </c>
    </row>
    <row r="5523" spans="1:6" ht="15.75" thickBot="1" x14ac:dyDescent="0.3">
      <c r="A5523" s="32" t="s">
        <v>538</v>
      </c>
      <c r="B5523" s="32" t="s">
        <v>539</v>
      </c>
      <c r="C5523" s="32" t="s">
        <v>27</v>
      </c>
      <c r="D5523" s="6" t="s">
        <v>28</v>
      </c>
      <c r="E5523" s="6" t="s">
        <v>262</v>
      </c>
      <c r="F5523" s="6"/>
    </row>
    <row r="5524" spans="1:6" ht="15.75" thickBot="1" x14ac:dyDescent="0.3">
      <c r="A5524" s="35" t="s">
        <v>31</v>
      </c>
      <c r="B5524" s="7" t="s">
        <v>32</v>
      </c>
      <c r="C5524" s="15">
        <v>45474</v>
      </c>
      <c r="D5524" s="35" t="s">
        <v>33</v>
      </c>
      <c r="E5524" s="7" t="s">
        <v>34</v>
      </c>
      <c r="F5524" s="6"/>
    </row>
    <row r="5525" spans="1:6" ht="15.75" thickBot="1" x14ac:dyDescent="0.3">
      <c r="A5525" s="36"/>
      <c r="B5525" s="7" t="s">
        <v>36</v>
      </c>
      <c r="C5525" s="5">
        <f>IF(C5524="","",IF(AND(MONTH(C5524)&gt;=1,MONTH(C5524)&lt;=3),1,IF(AND(MONTH(C5524)&gt;=4,MONTH(C5524)&lt;=6),2,IF(AND(MONTH(C5524)&gt;=7,MONTH(C5524)&lt;=9),3,4))))</f>
        <v>3</v>
      </c>
      <c r="D5525" s="36"/>
      <c r="E5525" s="7" t="s">
        <v>37</v>
      </c>
      <c r="F5525" s="6"/>
    </row>
    <row r="5526" spans="1:6" ht="15.75" thickBot="1" x14ac:dyDescent="0.3">
      <c r="A5526" s="36"/>
      <c r="B5526" s="7" t="s">
        <v>39</v>
      </c>
      <c r="C5526" s="15">
        <v>45565</v>
      </c>
      <c r="D5526" s="36"/>
      <c r="E5526" s="7" t="s">
        <v>40</v>
      </c>
      <c r="F5526" s="6"/>
    </row>
    <row r="5527" spans="1:6" ht="15.75" thickBot="1" x14ac:dyDescent="0.3">
      <c r="A5527" s="36"/>
      <c r="B5527" s="7" t="s">
        <v>36</v>
      </c>
      <c r="C5527" s="5">
        <f>IF(C5526="","",IF(AND(MONTH(C5526)&gt;=1,MONTH(C5526)&lt;=3),1,IF(AND(MONTH(C5526)&gt;=4,MONTH(C5526)&lt;=6),2,IF(AND(MONTH(C5526)&gt;=7,MONTH(C5526)&lt;=9),3,4))))</f>
        <v>3</v>
      </c>
      <c r="D5527" s="36"/>
      <c r="E5527" s="7" t="s">
        <v>41</v>
      </c>
      <c r="F5527" s="6"/>
    </row>
    <row r="5528" spans="1:6" ht="15.75" thickBot="1" x14ac:dyDescent="0.3">
      <c r="A5528" s="40"/>
      <c r="B5528" s="40"/>
      <c r="C5528" s="40"/>
      <c r="D5528" s="40"/>
      <c r="E5528" s="40"/>
      <c r="F5528" s="40"/>
    </row>
    <row r="5529" spans="1:6" ht="15.75" thickBot="1" x14ac:dyDescent="0.3">
      <c r="A5529" s="12" t="s">
        <v>42</v>
      </c>
      <c r="B5529" s="12" t="s">
        <v>43</v>
      </c>
      <c r="C5529" s="12" t="s">
        <v>44</v>
      </c>
      <c r="D5529" s="12" t="s">
        <v>45</v>
      </c>
      <c r="E5529" s="12" t="s">
        <v>46</v>
      </c>
      <c r="F5529" s="12" t="s">
        <v>47</v>
      </c>
    </row>
    <row r="5530" spans="1:6" x14ac:dyDescent="0.25">
      <c r="A5530" s="8">
        <v>53103001</v>
      </c>
      <c r="B5530" s="9" t="str">
        <f ca="1">IFERROR(INDEX(UNSPSCDes,MATCH(INDIRECT(ADDRESS(ROW(),COLUMN()-1,4)),UNSPSCCode,0)),"")</f>
        <v>Camisetas (t-shirts)</v>
      </c>
      <c r="C5530" s="33" t="s">
        <v>55</v>
      </c>
      <c r="D5530" s="8">
        <v>5000</v>
      </c>
      <c r="E5530" s="11">
        <v>350</v>
      </c>
      <c r="F5530" s="10">
        <f ca="1">INDIRECT(ADDRESS(ROW(),COLUMN()-2,4))*INDIRECT(ADDRESS(ROW(),COLUMN()-1,4))</f>
        <v>1750000</v>
      </c>
    </row>
    <row r="5531" spans="1:6" x14ac:dyDescent="0.25">
      <c r="A5531" s="40"/>
      <c r="B5531" s="40"/>
      <c r="C5531" s="40"/>
      <c r="D5531" s="40"/>
      <c r="E5531" s="13" t="s">
        <v>87</v>
      </c>
      <c r="F5531" s="14">
        <f ca="1">SUM(Table3156215[MONTO TOTAL ESTIMADO])</f>
        <v>1750000</v>
      </c>
    </row>
    <row r="5532" spans="1:6" ht="15.75" thickBot="1" x14ac:dyDescent="0.3">
      <c r="A5532" s="42"/>
      <c r="B5532" s="42"/>
      <c r="C5532" s="42"/>
      <c r="D5532" s="42"/>
      <c r="E5532" s="42"/>
      <c r="F5532" s="42"/>
    </row>
    <row r="5533" spans="1:6" ht="23.25" thickBot="1" x14ac:dyDescent="0.3">
      <c r="A5533" s="4" t="s">
        <v>19</v>
      </c>
      <c r="B5533" s="4" t="s">
        <v>20</v>
      </c>
      <c r="C5533" s="4" t="s">
        <v>21</v>
      </c>
      <c r="D5533" s="4" t="s">
        <v>22</v>
      </c>
      <c r="E5533" s="4" t="s">
        <v>23</v>
      </c>
      <c r="F5533" s="4" t="s">
        <v>24</v>
      </c>
    </row>
    <row r="5534" spans="1:6" ht="15.75" thickBot="1" x14ac:dyDescent="0.3">
      <c r="A5534" s="32" t="s">
        <v>510</v>
      </c>
      <c r="B5534" s="32" t="s">
        <v>511</v>
      </c>
      <c r="C5534" s="32" t="s">
        <v>27</v>
      </c>
      <c r="D5534" s="6" t="s">
        <v>28</v>
      </c>
      <c r="E5534" s="6" t="s">
        <v>262</v>
      </c>
      <c r="F5534" s="6"/>
    </row>
    <row r="5535" spans="1:6" ht="15.75" thickBot="1" x14ac:dyDescent="0.3">
      <c r="A5535" s="35" t="s">
        <v>31</v>
      </c>
      <c r="B5535" s="7" t="s">
        <v>32</v>
      </c>
      <c r="C5535" s="15">
        <v>45474</v>
      </c>
      <c r="D5535" s="35" t="s">
        <v>33</v>
      </c>
      <c r="E5535" s="7" t="s">
        <v>34</v>
      </c>
      <c r="F5535" s="6"/>
    </row>
    <row r="5536" spans="1:6" ht="15.75" thickBot="1" x14ac:dyDescent="0.3">
      <c r="A5536" s="36"/>
      <c r="B5536" s="7" t="s">
        <v>36</v>
      </c>
      <c r="C5536" s="5">
        <f>IF(C5535="","",IF(AND(MONTH(C5535)&gt;=1,MONTH(C5535)&lt;=3),1,IF(AND(MONTH(C5535)&gt;=4,MONTH(C5535)&lt;=6),2,IF(AND(MONTH(C5535)&gt;=7,MONTH(C5535)&lt;=9),3,4))))</f>
        <v>3</v>
      </c>
      <c r="D5536" s="36"/>
      <c r="E5536" s="7" t="s">
        <v>37</v>
      </c>
      <c r="F5536" s="6"/>
    </row>
    <row r="5537" spans="1:6" ht="15.75" thickBot="1" x14ac:dyDescent="0.3">
      <c r="A5537" s="36"/>
      <c r="B5537" s="7" t="s">
        <v>39</v>
      </c>
      <c r="C5537" s="15">
        <v>45565</v>
      </c>
      <c r="D5537" s="36"/>
      <c r="E5537" s="7" t="s">
        <v>40</v>
      </c>
      <c r="F5537" s="6"/>
    </row>
    <row r="5538" spans="1:6" ht="15.75" thickBot="1" x14ac:dyDescent="0.3">
      <c r="A5538" s="36"/>
      <c r="B5538" s="7" t="s">
        <v>36</v>
      </c>
      <c r="C5538" s="5">
        <f>IF(C5537="","",IF(AND(MONTH(C5537)&gt;=1,MONTH(C5537)&lt;=3),1,IF(AND(MONTH(C5537)&gt;=4,MONTH(C5537)&lt;=6),2,IF(AND(MONTH(C5537)&gt;=7,MONTH(C5537)&lt;=9),3,4))))</f>
        <v>3</v>
      </c>
      <c r="D5538" s="36"/>
      <c r="E5538" s="7" t="s">
        <v>41</v>
      </c>
      <c r="F5538" s="6"/>
    </row>
    <row r="5539" spans="1:6" ht="15.75" thickBot="1" x14ac:dyDescent="0.3">
      <c r="A5539" s="40"/>
      <c r="B5539" s="40"/>
      <c r="C5539" s="40"/>
      <c r="D5539" s="40"/>
      <c r="E5539" s="40"/>
      <c r="F5539" s="40"/>
    </row>
    <row r="5540" spans="1:6" ht="15.75" thickBot="1" x14ac:dyDescent="0.3">
      <c r="A5540" s="12" t="s">
        <v>42</v>
      </c>
      <c r="B5540" s="12" t="s">
        <v>43</v>
      </c>
      <c r="C5540" s="12" t="s">
        <v>44</v>
      </c>
      <c r="D5540" s="12" t="s">
        <v>45</v>
      </c>
      <c r="E5540" s="12" t="s">
        <v>46</v>
      </c>
      <c r="F5540" s="12" t="s">
        <v>47</v>
      </c>
    </row>
    <row r="5541" spans="1:6" x14ac:dyDescent="0.25">
      <c r="A5541" s="8">
        <v>49161608</v>
      </c>
      <c r="B5541" s="9" t="str">
        <f t="shared" ref="B5541:B5558" ca="1" si="112">IFERROR(INDEX(UNSPSCDes,MATCH(INDIRECT(ADDRESS(ROW(),COLUMN()-1,4)),UNSPSCCode,0)),"")</f>
        <v>Balones de voleibol</v>
      </c>
      <c r="C5541" s="33" t="s">
        <v>55</v>
      </c>
      <c r="D5541" s="8">
        <v>100</v>
      </c>
      <c r="E5541" s="11">
        <v>1593</v>
      </c>
      <c r="F5541" s="10">
        <f t="shared" ref="F5541:F5558" ca="1" si="113">INDIRECT(ADDRESS(ROW(),COLUMN()-2,4))*INDIRECT(ADDRESS(ROW(),COLUMN()-1,4))</f>
        <v>159300</v>
      </c>
    </row>
    <row r="5542" spans="1:6" x14ac:dyDescent="0.25">
      <c r="A5542" s="8">
        <v>49161603</v>
      </c>
      <c r="B5542" s="9" t="str">
        <f t="shared" ca="1" si="112"/>
        <v>Pelotas de básquetbol</v>
      </c>
      <c r="C5542" s="33" t="s">
        <v>55</v>
      </c>
      <c r="D5542" s="8">
        <v>30</v>
      </c>
      <c r="E5542" s="11">
        <v>1640</v>
      </c>
      <c r="F5542" s="10">
        <f t="shared" ca="1" si="113"/>
        <v>49200</v>
      </c>
    </row>
    <row r="5543" spans="1:6" x14ac:dyDescent="0.25">
      <c r="A5543" s="8">
        <v>49161603</v>
      </c>
      <c r="B5543" s="9" t="str">
        <f t="shared" ca="1" si="112"/>
        <v>Pelotas de básquetbol</v>
      </c>
      <c r="C5543" s="33" t="s">
        <v>55</v>
      </c>
      <c r="D5543" s="8">
        <v>100</v>
      </c>
      <c r="E5543" s="11">
        <v>1593</v>
      </c>
      <c r="F5543" s="10">
        <f t="shared" ca="1" si="113"/>
        <v>159300</v>
      </c>
    </row>
    <row r="5544" spans="1:6" x14ac:dyDescent="0.25">
      <c r="A5544" s="8">
        <v>49161503</v>
      </c>
      <c r="B5544" s="9" t="str">
        <f t="shared" ca="1" si="112"/>
        <v>Pelotas de beisbol</v>
      </c>
      <c r="C5544" s="33" t="s">
        <v>55</v>
      </c>
      <c r="D5544" s="8">
        <v>100</v>
      </c>
      <c r="E5544" s="11">
        <v>425</v>
      </c>
      <c r="F5544" s="10">
        <f t="shared" ca="1" si="113"/>
        <v>42500</v>
      </c>
    </row>
    <row r="5545" spans="1:6" x14ac:dyDescent="0.25">
      <c r="A5545" s="8">
        <v>49161509</v>
      </c>
      <c r="B5545" s="9" t="str">
        <f t="shared" ca="1" si="112"/>
        <v>Balones de softbol</v>
      </c>
      <c r="C5545" s="33" t="s">
        <v>55</v>
      </c>
      <c r="D5545" s="8">
        <v>100</v>
      </c>
      <c r="E5545" s="11">
        <v>477.9</v>
      </c>
      <c r="F5545" s="10">
        <f t="shared" ca="1" si="113"/>
        <v>47790</v>
      </c>
    </row>
    <row r="5546" spans="1:6" x14ac:dyDescent="0.25">
      <c r="A5546" s="8">
        <v>49161504</v>
      </c>
      <c r="B5546" s="9" t="str">
        <f t="shared" ca="1" si="112"/>
        <v>Balones de futbol</v>
      </c>
      <c r="C5546" s="33" t="s">
        <v>55</v>
      </c>
      <c r="D5546" s="8">
        <v>50</v>
      </c>
      <c r="E5546" s="11">
        <v>1593</v>
      </c>
      <c r="F5546" s="10">
        <f t="shared" ca="1" si="113"/>
        <v>79650</v>
      </c>
    </row>
    <row r="5547" spans="1:6" x14ac:dyDescent="0.25">
      <c r="A5547" s="8">
        <v>49161504</v>
      </c>
      <c r="B5547" s="9" t="str">
        <f t="shared" ca="1" si="112"/>
        <v>Balones de futbol</v>
      </c>
      <c r="C5547" s="33" t="s">
        <v>55</v>
      </c>
      <c r="D5547" s="8">
        <v>60</v>
      </c>
      <c r="E5547" s="11">
        <v>1593</v>
      </c>
      <c r="F5547" s="10">
        <f t="shared" ca="1" si="113"/>
        <v>95580</v>
      </c>
    </row>
    <row r="5548" spans="1:6" x14ac:dyDescent="0.25">
      <c r="A5548" s="8">
        <v>49221502</v>
      </c>
      <c r="B5548" s="9" t="str">
        <f t="shared" ca="1" si="112"/>
        <v>Porterías</v>
      </c>
      <c r="C5548" s="33" t="s">
        <v>55</v>
      </c>
      <c r="D5548" s="8">
        <v>30</v>
      </c>
      <c r="E5548" s="11">
        <v>1416</v>
      </c>
      <c r="F5548" s="10">
        <f t="shared" ca="1" si="113"/>
        <v>42480</v>
      </c>
    </row>
    <row r="5549" spans="1:6" x14ac:dyDescent="0.25">
      <c r="A5549" s="8">
        <v>49181509</v>
      </c>
      <c r="B5549" s="9" t="str">
        <f t="shared" ca="1" si="112"/>
        <v>Bolas de ping pong</v>
      </c>
      <c r="C5549" s="33" t="s">
        <v>55</v>
      </c>
      <c r="D5549" s="8">
        <v>100</v>
      </c>
      <c r="E5549" s="11">
        <v>94.4</v>
      </c>
      <c r="F5549" s="10">
        <f t="shared" ca="1" si="113"/>
        <v>9440</v>
      </c>
    </row>
    <row r="5550" spans="1:6" x14ac:dyDescent="0.25">
      <c r="A5550" s="8">
        <v>49161603</v>
      </c>
      <c r="B5550" s="9" t="str">
        <f t="shared" ca="1" si="112"/>
        <v>Pelotas de básquetbol</v>
      </c>
      <c r="C5550" s="33" t="s">
        <v>55</v>
      </c>
      <c r="D5550" s="8">
        <v>50</v>
      </c>
      <c r="E5550" s="11">
        <v>2950</v>
      </c>
      <c r="F5550" s="10">
        <f t="shared" ca="1" si="113"/>
        <v>147500</v>
      </c>
    </row>
    <row r="5551" spans="1:6" x14ac:dyDescent="0.25">
      <c r="A5551" s="8">
        <v>49161603</v>
      </c>
      <c r="B5551" s="9" t="str">
        <f t="shared" ca="1" si="112"/>
        <v>Pelotas de básquetbol</v>
      </c>
      <c r="C5551" s="33" t="s">
        <v>55</v>
      </c>
      <c r="D5551" s="8">
        <v>25</v>
      </c>
      <c r="E5551" s="11">
        <v>3304</v>
      </c>
      <c r="F5551" s="10">
        <f t="shared" ca="1" si="113"/>
        <v>82600</v>
      </c>
    </row>
    <row r="5552" spans="1:6" x14ac:dyDescent="0.25">
      <c r="A5552" s="8">
        <v>49161503</v>
      </c>
      <c r="B5552" s="9" t="str">
        <f t="shared" ca="1" si="112"/>
        <v>Pelotas de beisbol</v>
      </c>
      <c r="C5552" s="33" t="s">
        <v>55</v>
      </c>
      <c r="D5552" s="8">
        <v>25</v>
      </c>
      <c r="E5552" s="11">
        <v>295</v>
      </c>
      <c r="F5552" s="10">
        <f t="shared" ca="1" si="113"/>
        <v>7375</v>
      </c>
    </row>
    <row r="5553" spans="1:6" x14ac:dyDescent="0.25">
      <c r="A5553" s="8">
        <v>49221507</v>
      </c>
      <c r="B5553" s="9" t="str">
        <f t="shared" ca="1" si="112"/>
        <v>Tableros de basquetbol</v>
      </c>
      <c r="C5553" s="33" t="s">
        <v>55</v>
      </c>
      <c r="D5553" s="8">
        <v>10</v>
      </c>
      <c r="E5553" s="11">
        <v>41300</v>
      </c>
      <c r="F5553" s="10">
        <f t="shared" ca="1" si="113"/>
        <v>413000</v>
      </c>
    </row>
    <row r="5554" spans="1:6" x14ac:dyDescent="0.25">
      <c r="A5554" s="8">
        <v>49221505</v>
      </c>
      <c r="B5554" s="9" t="str">
        <f t="shared" ca="1" si="112"/>
        <v>Mallas o redes para deportes</v>
      </c>
      <c r="C5554" s="33" t="s">
        <v>55</v>
      </c>
      <c r="D5554" s="8">
        <v>25</v>
      </c>
      <c r="E5554" s="11">
        <v>241.9</v>
      </c>
      <c r="F5554" s="10">
        <f t="shared" ca="1" si="113"/>
        <v>6047.5</v>
      </c>
    </row>
    <row r="5555" spans="1:6" x14ac:dyDescent="0.25">
      <c r="A5555" s="8">
        <v>49161506</v>
      </c>
      <c r="B5555" s="9" t="str">
        <f t="shared" ca="1" si="112"/>
        <v>Bates de beisbol</v>
      </c>
      <c r="C5555" s="33" t="s">
        <v>55</v>
      </c>
      <c r="D5555" s="8">
        <v>25</v>
      </c>
      <c r="E5555" s="11">
        <v>5074</v>
      </c>
      <c r="F5555" s="10">
        <f t="shared" ca="1" si="113"/>
        <v>126850</v>
      </c>
    </row>
    <row r="5556" spans="1:6" x14ac:dyDescent="0.25">
      <c r="A5556" s="8">
        <v>49161520</v>
      </c>
      <c r="B5556" s="9" t="str">
        <f t="shared" ca="1" si="112"/>
        <v>Bates de softbol</v>
      </c>
      <c r="C5556" s="33" t="s">
        <v>55</v>
      </c>
      <c r="D5556" s="8">
        <v>10</v>
      </c>
      <c r="E5556" s="11">
        <v>4277.5</v>
      </c>
      <c r="F5556" s="10">
        <f t="shared" ca="1" si="113"/>
        <v>42775</v>
      </c>
    </row>
    <row r="5557" spans="1:6" x14ac:dyDescent="0.25">
      <c r="A5557" s="8">
        <v>49161608</v>
      </c>
      <c r="B5557" s="9" t="str">
        <f t="shared" ca="1" si="112"/>
        <v>Balones de voleibol</v>
      </c>
      <c r="C5557" s="33" t="s">
        <v>55</v>
      </c>
      <c r="D5557" s="8">
        <v>50</v>
      </c>
      <c r="E5557" s="11">
        <v>1800</v>
      </c>
      <c r="F5557" s="10">
        <f t="shared" ca="1" si="113"/>
        <v>90000</v>
      </c>
    </row>
    <row r="5558" spans="1:6" x14ac:dyDescent="0.25">
      <c r="A5558" s="8">
        <v>49161506</v>
      </c>
      <c r="B5558" s="9" t="str">
        <f t="shared" ca="1" si="112"/>
        <v>Bates de beisbol</v>
      </c>
      <c r="C5558" s="33" t="s">
        <v>55</v>
      </c>
      <c r="D5558" s="8">
        <v>15</v>
      </c>
      <c r="E5558" s="11">
        <v>4074</v>
      </c>
      <c r="F5558" s="10">
        <f t="shared" ca="1" si="113"/>
        <v>61110</v>
      </c>
    </row>
    <row r="5559" spans="1:6" x14ac:dyDescent="0.25">
      <c r="A5559" s="40"/>
      <c r="B5559" s="40"/>
      <c r="C5559" s="40"/>
      <c r="D5559" s="40"/>
      <c r="E5559" s="13" t="s">
        <v>87</v>
      </c>
      <c r="F5559" s="14">
        <f ca="1">SUM(Table3157216[MONTO TOTAL ESTIMADO])</f>
        <v>1662497.5</v>
      </c>
    </row>
    <row r="5560" spans="1:6" ht="15.75" thickBot="1" x14ac:dyDescent="0.3">
      <c r="A5560" s="42"/>
      <c r="B5560" s="42"/>
      <c r="C5560" s="42"/>
      <c r="D5560" s="42"/>
      <c r="E5560" s="42"/>
      <c r="F5560" s="42"/>
    </row>
    <row r="5561" spans="1:6" ht="23.25" thickBot="1" x14ac:dyDescent="0.3">
      <c r="A5561" s="4" t="s">
        <v>19</v>
      </c>
      <c r="B5561" s="4" t="s">
        <v>20</v>
      </c>
      <c r="C5561" s="4" t="s">
        <v>21</v>
      </c>
      <c r="D5561" s="4" t="s">
        <v>22</v>
      </c>
      <c r="E5561" s="4" t="s">
        <v>23</v>
      </c>
      <c r="F5561" s="4" t="s">
        <v>24</v>
      </c>
    </row>
    <row r="5562" spans="1:6" ht="15.75" thickBot="1" x14ac:dyDescent="0.3">
      <c r="A5562" s="32" t="s">
        <v>540</v>
      </c>
      <c r="B5562" s="32" t="s">
        <v>541</v>
      </c>
      <c r="C5562" s="32" t="s">
        <v>129</v>
      </c>
      <c r="D5562" s="6" t="s">
        <v>28</v>
      </c>
      <c r="E5562" s="6" t="s">
        <v>262</v>
      </c>
      <c r="F5562" s="6"/>
    </row>
    <row r="5563" spans="1:6" ht="15.75" thickBot="1" x14ac:dyDescent="0.3">
      <c r="A5563" s="35" t="s">
        <v>31</v>
      </c>
      <c r="B5563" s="7" t="s">
        <v>32</v>
      </c>
      <c r="C5563" s="15">
        <v>45474</v>
      </c>
      <c r="D5563" s="35" t="s">
        <v>33</v>
      </c>
      <c r="E5563" s="7" t="s">
        <v>34</v>
      </c>
      <c r="F5563" s="6"/>
    </row>
    <row r="5564" spans="1:6" ht="15.75" thickBot="1" x14ac:dyDescent="0.3">
      <c r="A5564" s="36"/>
      <c r="B5564" s="7" t="s">
        <v>36</v>
      </c>
      <c r="C5564" s="5">
        <f>IF(C5563="","",IF(AND(MONTH(C5563)&gt;=1,MONTH(C5563)&lt;=3),1,IF(AND(MONTH(C5563)&gt;=4,MONTH(C5563)&lt;=6),2,IF(AND(MONTH(C5563)&gt;=7,MONTH(C5563)&lt;=9),3,4))))</f>
        <v>3</v>
      </c>
      <c r="D5564" s="36"/>
      <c r="E5564" s="7" t="s">
        <v>37</v>
      </c>
      <c r="F5564" s="6"/>
    </row>
    <row r="5565" spans="1:6" ht="15.75" thickBot="1" x14ac:dyDescent="0.3">
      <c r="A5565" s="36"/>
      <c r="B5565" s="7" t="s">
        <v>39</v>
      </c>
      <c r="C5565" s="15">
        <v>45565</v>
      </c>
      <c r="D5565" s="36"/>
      <c r="E5565" s="7" t="s">
        <v>40</v>
      </c>
      <c r="F5565" s="6"/>
    </row>
    <row r="5566" spans="1:6" ht="15.75" thickBot="1" x14ac:dyDescent="0.3">
      <c r="A5566" s="36"/>
      <c r="B5566" s="7" t="s">
        <v>36</v>
      </c>
      <c r="C5566" s="5">
        <f>IF(C5565="","",IF(AND(MONTH(C5565)&gt;=1,MONTH(C5565)&lt;=3),1,IF(AND(MONTH(C5565)&gt;=4,MONTH(C5565)&lt;=6),2,IF(AND(MONTH(C5565)&gt;=7,MONTH(C5565)&lt;=9),3,4))))</f>
        <v>3</v>
      </c>
      <c r="D5566" s="36"/>
      <c r="E5566" s="7" t="s">
        <v>41</v>
      </c>
      <c r="F5566" s="6"/>
    </row>
    <row r="5567" spans="1:6" ht="15.75" thickBot="1" x14ac:dyDescent="0.3">
      <c r="A5567" s="40"/>
      <c r="B5567" s="40"/>
      <c r="C5567" s="40"/>
      <c r="D5567" s="40"/>
      <c r="E5567" s="40"/>
      <c r="F5567" s="40"/>
    </row>
    <row r="5568" spans="1:6" ht="15.75" thickBot="1" x14ac:dyDescent="0.3">
      <c r="A5568" s="12" t="s">
        <v>42</v>
      </c>
      <c r="B5568" s="12" t="s">
        <v>43</v>
      </c>
      <c r="C5568" s="12" t="s">
        <v>44</v>
      </c>
      <c r="D5568" s="12" t="s">
        <v>45</v>
      </c>
      <c r="E5568" s="12" t="s">
        <v>46</v>
      </c>
      <c r="F5568" s="12" t="s">
        <v>47</v>
      </c>
    </row>
    <row r="5569" spans="1:6" x14ac:dyDescent="0.25">
      <c r="A5569" s="8">
        <v>86111604</v>
      </c>
      <c r="B5569" s="9" t="str">
        <f ca="1">IFERROR(INDEX(UNSPSCDes,MATCH(INDIRECT(ADDRESS(ROW(),COLUMN()-1,4)),UNSPSCCode,0)),"")</f>
        <v>Educación para empleados</v>
      </c>
      <c r="C5569" s="33" t="s">
        <v>55</v>
      </c>
      <c r="D5569" s="8">
        <v>1</v>
      </c>
      <c r="E5569" s="11">
        <v>1700000</v>
      </c>
      <c r="F5569" s="10">
        <f ca="1">INDIRECT(ADDRESS(ROW(),COLUMN()-2,4))*INDIRECT(ADDRESS(ROW(),COLUMN()-1,4))</f>
        <v>1700000</v>
      </c>
    </row>
    <row r="5570" spans="1:6" x14ac:dyDescent="0.25">
      <c r="A5570" s="40"/>
      <c r="B5570" s="40"/>
      <c r="C5570" s="40"/>
      <c r="D5570" s="40"/>
      <c r="E5570" s="13" t="s">
        <v>87</v>
      </c>
      <c r="F5570" s="14">
        <f ca="1">SUM(Table3158217[MONTO TOTAL ESTIMADO])</f>
        <v>1700000</v>
      </c>
    </row>
    <row r="5571" spans="1:6" ht="15.75" thickBot="1" x14ac:dyDescent="0.3"/>
    <row r="5572" spans="1:6" ht="23.25" thickBot="1" x14ac:dyDescent="0.3">
      <c r="A5572" s="4" t="s">
        <v>19</v>
      </c>
      <c r="B5572" s="4" t="s">
        <v>20</v>
      </c>
      <c r="C5572" s="4" t="s">
        <v>21</v>
      </c>
      <c r="D5572" s="4" t="s">
        <v>22</v>
      </c>
      <c r="E5572" s="4" t="s">
        <v>23</v>
      </c>
      <c r="F5572" s="4" t="s">
        <v>24</v>
      </c>
    </row>
    <row r="5573" spans="1:6" ht="15.75" thickBot="1" x14ac:dyDescent="0.3">
      <c r="A5573" s="32" t="s">
        <v>214</v>
      </c>
      <c r="B5573" s="32" t="s">
        <v>215</v>
      </c>
      <c r="C5573" s="32" t="s">
        <v>129</v>
      </c>
      <c r="D5573" s="6" t="s">
        <v>140</v>
      </c>
      <c r="E5573" s="32" t="s">
        <v>29</v>
      </c>
      <c r="F5573" s="6"/>
    </row>
    <row r="5574" spans="1:6" ht="15.75" thickBot="1" x14ac:dyDescent="0.3">
      <c r="A5574" s="35" t="s">
        <v>31</v>
      </c>
      <c r="B5574" s="7" t="s">
        <v>32</v>
      </c>
      <c r="C5574" s="15">
        <v>45566</v>
      </c>
      <c r="D5574" s="35" t="s">
        <v>33</v>
      </c>
      <c r="E5574" s="7" t="s">
        <v>34</v>
      </c>
      <c r="F5574" s="6"/>
    </row>
    <row r="5575" spans="1:6" ht="15.75" thickBot="1" x14ac:dyDescent="0.3">
      <c r="A5575" s="36"/>
      <c r="B5575" s="7" t="s">
        <v>36</v>
      </c>
      <c r="C5575" s="5">
        <f>IF(C5574="","",IF(AND(MONTH(C5574)&gt;=1,MONTH(C5574)&lt;=3),1,IF(AND(MONTH(C5574)&gt;=4,MONTH(C5574)&lt;=6),2,IF(AND(MONTH(C5574)&gt;=7,MONTH(C5574)&lt;=9),3,4))))</f>
        <v>4</v>
      </c>
      <c r="D5575" s="36"/>
      <c r="E5575" s="7" t="s">
        <v>37</v>
      </c>
      <c r="F5575" s="6"/>
    </row>
    <row r="5576" spans="1:6" ht="15.75" thickBot="1" x14ac:dyDescent="0.3">
      <c r="A5576" s="36"/>
      <c r="B5576" s="7" t="s">
        <v>39</v>
      </c>
      <c r="C5576" s="15">
        <v>45657</v>
      </c>
      <c r="D5576" s="36"/>
      <c r="E5576" s="7" t="s">
        <v>40</v>
      </c>
      <c r="F5576" s="6"/>
    </row>
    <row r="5577" spans="1:6" ht="15.75" thickBot="1" x14ac:dyDescent="0.3">
      <c r="A5577" s="36"/>
      <c r="B5577" s="7" t="s">
        <v>36</v>
      </c>
      <c r="C5577" s="5">
        <f>IF(C5576="","",IF(AND(MONTH(C5576)&gt;=1,MONTH(C5576)&lt;=3),1,IF(AND(MONTH(C5576)&gt;=4,MONTH(C5576)&lt;=6),2,IF(AND(MONTH(C5576)&gt;=7,MONTH(C5576)&lt;=9),3,4))))</f>
        <v>4</v>
      </c>
      <c r="D5577" s="36"/>
      <c r="E5577" s="7" t="s">
        <v>41</v>
      </c>
      <c r="F5577" s="6"/>
    </row>
    <row r="5578" spans="1:6" ht="15.75" thickBot="1" x14ac:dyDescent="0.3">
      <c r="A5578" s="40"/>
      <c r="B5578" s="40"/>
      <c r="C5578" s="40"/>
      <c r="D5578" s="40"/>
      <c r="E5578" s="40"/>
      <c r="F5578" s="40"/>
    </row>
    <row r="5579" spans="1:6" ht="15.75" thickBot="1" x14ac:dyDescent="0.3">
      <c r="A5579" s="12" t="s">
        <v>42</v>
      </c>
      <c r="B5579" s="12" t="s">
        <v>43</v>
      </c>
      <c r="C5579" s="12" t="s">
        <v>44</v>
      </c>
      <c r="D5579" s="12" t="s">
        <v>45</v>
      </c>
      <c r="E5579" s="12" t="s">
        <v>46</v>
      </c>
      <c r="F5579" s="12" t="s">
        <v>47</v>
      </c>
    </row>
    <row r="5580" spans="1:6" x14ac:dyDescent="0.25">
      <c r="A5580" s="8">
        <v>78111808</v>
      </c>
      <c r="B5580" s="9" t="str">
        <f ca="1">IFERROR(INDEX(UNSPSCDes,MATCH(INDIRECT(ADDRESS(ROW(),COLUMN()-1,4)),UNSPSCCode,0)),"")</f>
        <v>Alquiler de vehículos</v>
      </c>
      <c r="C5580" s="33" t="s">
        <v>55</v>
      </c>
      <c r="D5580" s="8">
        <v>40</v>
      </c>
      <c r="E5580" s="11">
        <v>16800</v>
      </c>
      <c r="F5580" s="10">
        <f ca="1">INDIRECT(ADDRESS(ROW(),COLUMN()-2,4))*INDIRECT(ADDRESS(ROW(),COLUMN()-1,4))</f>
        <v>672000</v>
      </c>
    </row>
    <row r="5581" spans="1:6" x14ac:dyDescent="0.25">
      <c r="A5581" s="8">
        <v>78111803</v>
      </c>
      <c r="B5581" s="9" t="str">
        <f ca="1">IFERROR(INDEX(UNSPSCDes,MATCH(INDIRECT(ADDRESS(ROW(),COLUMN()-1,4)),UNSPSCCode,0)),"")</f>
        <v>Servicios de buses contratados</v>
      </c>
      <c r="C5581" s="33" t="s">
        <v>55</v>
      </c>
      <c r="D5581" s="8">
        <v>150</v>
      </c>
      <c r="E5581" s="11">
        <v>30000</v>
      </c>
      <c r="F5581" s="10">
        <f ca="1">INDIRECT(ADDRESS(ROW(),COLUMN()-2,4))*INDIRECT(ADDRESS(ROW(),COLUMN()-1,4))</f>
        <v>4500000</v>
      </c>
    </row>
    <row r="5582" spans="1:6" ht="22.5" x14ac:dyDescent="0.25">
      <c r="A5582" s="41">
        <v>78101802</v>
      </c>
      <c r="B5582" s="9" t="str">
        <f ca="1">IFERROR(INDEX(UNSPSCDes,MATCH(INDIRECT(ADDRESS(ROW(),COLUMN()-1,4)),UNSPSCCode,0)),"")</f>
        <v>Servicios transporte de carga por carretera (en camión) a nivel regional y nacional</v>
      </c>
      <c r="C5582" s="33" t="s">
        <v>55</v>
      </c>
      <c r="D5582" s="8">
        <v>60</v>
      </c>
      <c r="E5582" s="11">
        <v>35000</v>
      </c>
      <c r="F5582" s="10">
        <f ca="1">INDIRECT(ADDRESS(ROW(),COLUMN()-2,4))*INDIRECT(ADDRESS(ROW(),COLUMN()-1,4))</f>
        <v>2100000</v>
      </c>
    </row>
    <row r="5583" spans="1:6" x14ac:dyDescent="0.25">
      <c r="A5583" s="40"/>
      <c r="B5583" s="40"/>
      <c r="C5583" s="40"/>
      <c r="D5583" s="40"/>
      <c r="E5583" s="13" t="s">
        <v>87</v>
      </c>
      <c r="F5583" s="14">
        <f ca="1">SUM(Table348218[MONTO TOTAL ESTIMADO])</f>
        <v>7272000</v>
      </c>
    </row>
    <row r="5584" spans="1:6" ht="15.75" thickBot="1" x14ac:dyDescent="0.3">
      <c r="A5584" s="42"/>
      <c r="B5584" s="42"/>
      <c r="C5584" s="42"/>
      <c r="D5584" s="42"/>
      <c r="E5584" s="42"/>
      <c r="F5584" s="42"/>
    </row>
    <row r="5585" spans="1:6" ht="23.25" thickBot="1" x14ac:dyDescent="0.3">
      <c r="A5585" s="4" t="s">
        <v>19</v>
      </c>
      <c r="B5585" s="4" t="s">
        <v>20</v>
      </c>
      <c r="C5585" s="4" t="s">
        <v>21</v>
      </c>
      <c r="D5585" s="4" t="s">
        <v>22</v>
      </c>
      <c r="E5585" s="4" t="s">
        <v>23</v>
      </c>
      <c r="F5585" s="4" t="s">
        <v>24</v>
      </c>
    </row>
    <row r="5586" spans="1:6" ht="15.75" thickBot="1" x14ac:dyDescent="0.3">
      <c r="A5586" s="32" t="s">
        <v>219</v>
      </c>
      <c r="B5586" s="32" t="s">
        <v>220</v>
      </c>
      <c r="C5586" s="32" t="s">
        <v>129</v>
      </c>
      <c r="D5586" s="6" t="s">
        <v>140</v>
      </c>
      <c r="E5586" s="32" t="s">
        <v>29</v>
      </c>
      <c r="F5586" s="6"/>
    </row>
    <row r="5587" spans="1:6" ht="15.75" thickBot="1" x14ac:dyDescent="0.3">
      <c r="A5587" s="35" t="s">
        <v>31</v>
      </c>
      <c r="B5587" s="7" t="s">
        <v>32</v>
      </c>
      <c r="C5587" s="15">
        <v>45566</v>
      </c>
      <c r="D5587" s="35" t="s">
        <v>33</v>
      </c>
      <c r="E5587" s="7" t="s">
        <v>34</v>
      </c>
      <c r="F5587" s="6"/>
    </row>
    <row r="5588" spans="1:6" ht="15.75" thickBot="1" x14ac:dyDescent="0.3">
      <c r="A5588" s="36"/>
      <c r="B5588" s="7" t="s">
        <v>36</v>
      </c>
      <c r="C5588" s="5">
        <f>IF(C5587="","",IF(AND(MONTH(C5587)&gt;=1,MONTH(C5587)&lt;=3),1,IF(AND(MONTH(C5587)&gt;=4,MONTH(C5587)&lt;=6),2,IF(AND(MONTH(C5587)&gt;=7,MONTH(C5587)&lt;=9),3,4))))</f>
        <v>4</v>
      </c>
      <c r="D5588" s="36"/>
      <c r="E5588" s="7" t="s">
        <v>37</v>
      </c>
      <c r="F5588" s="6"/>
    </row>
    <row r="5589" spans="1:6" ht="15.75" thickBot="1" x14ac:dyDescent="0.3">
      <c r="A5589" s="36"/>
      <c r="B5589" s="7" t="s">
        <v>39</v>
      </c>
      <c r="C5589" s="15">
        <v>45656</v>
      </c>
      <c r="D5589" s="36"/>
      <c r="E5589" s="7" t="s">
        <v>40</v>
      </c>
      <c r="F5589" s="6"/>
    </row>
    <row r="5590" spans="1:6" ht="15.75" thickBot="1" x14ac:dyDescent="0.3">
      <c r="A5590" s="36"/>
      <c r="B5590" s="7" t="s">
        <v>36</v>
      </c>
      <c r="C5590" s="5">
        <f>IF(C5589="","",IF(AND(MONTH(C5589)&gt;=1,MONTH(C5589)&lt;=3),1,IF(AND(MONTH(C5589)&gt;=4,MONTH(C5589)&lt;=6),2,IF(AND(MONTH(C5589)&gt;=7,MONTH(C5589)&lt;=9),3,4))))</f>
        <v>4</v>
      </c>
      <c r="D5590" s="36"/>
      <c r="E5590" s="7" t="s">
        <v>41</v>
      </c>
      <c r="F5590" s="6"/>
    </row>
    <row r="5591" spans="1:6" ht="15.75" thickBot="1" x14ac:dyDescent="0.3">
      <c r="A5591" s="40"/>
      <c r="B5591" s="40"/>
      <c r="C5591" s="40"/>
      <c r="D5591" s="40"/>
      <c r="E5591" s="40"/>
      <c r="F5591" s="40"/>
    </row>
    <row r="5592" spans="1:6" ht="15.75" thickBot="1" x14ac:dyDescent="0.3">
      <c r="A5592" s="12" t="s">
        <v>42</v>
      </c>
      <c r="B5592" s="12" t="s">
        <v>43</v>
      </c>
      <c r="C5592" s="12" t="s">
        <v>44</v>
      </c>
      <c r="D5592" s="12" t="s">
        <v>45</v>
      </c>
      <c r="E5592" s="12" t="s">
        <v>46</v>
      </c>
      <c r="F5592" s="12" t="s">
        <v>47</v>
      </c>
    </row>
    <row r="5593" spans="1:6" x14ac:dyDescent="0.25">
      <c r="A5593" s="8">
        <v>80141607</v>
      </c>
      <c r="B5593" s="9" t="str">
        <f ca="1">IFERROR(INDEX(UNSPSCDes,MATCH(INDIRECT(ADDRESS(ROW(),COLUMN()-1,4)),UNSPSCCode,0)),"")</f>
        <v>Gestión de eventos</v>
      </c>
      <c r="C5593" s="8" t="s">
        <v>55</v>
      </c>
      <c r="D5593" s="8">
        <v>1</v>
      </c>
      <c r="E5593" s="11">
        <v>30000000</v>
      </c>
      <c r="F5593" s="10">
        <f ca="1">INDIRECT(ADDRESS(ROW(),COLUMN()-2,4))*INDIRECT(ADDRESS(ROW(),COLUMN()-1,4))</f>
        <v>30000000</v>
      </c>
    </row>
    <row r="5594" spans="1:6" x14ac:dyDescent="0.25">
      <c r="A5594" s="8">
        <v>80141607</v>
      </c>
      <c r="B5594" s="9" t="str">
        <f ca="1">IFERROR(INDEX(UNSPSCDes,MATCH(INDIRECT(ADDRESS(ROW(),COLUMN()-1,4)),UNSPSCCode,0)),"")</f>
        <v>Gestión de eventos</v>
      </c>
      <c r="C5594" s="33" t="s">
        <v>55</v>
      </c>
      <c r="D5594" s="8">
        <v>1</v>
      </c>
      <c r="E5594" s="11">
        <v>30000000</v>
      </c>
      <c r="F5594" s="10">
        <f ca="1">INDIRECT(ADDRESS(ROW(),COLUMN()-2,4))*INDIRECT(ADDRESS(ROW(),COLUMN()-1,4))</f>
        <v>30000000</v>
      </c>
    </row>
    <row r="5595" spans="1:6" x14ac:dyDescent="0.25">
      <c r="A5595" s="40"/>
      <c r="B5595" s="40"/>
      <c r="C5595" s="40"/>
      <c r="D5595" s="40"/>
      <c r="E5595" s="13" t="s">
        <v>87</v>
      </c>
      <c r="F5595" s="14">
        <f ca="1">SUM(Table349219[MONTO TOTAL ESTIMADO])</f>
        <v>60000000</v>
      </c>
    </row>
    <row r="5596" spans="1:6" ht="15.75" thickBot="1" x14ac:dyDescent="0.3">
      <c r="A5596" s="42"/>
      <c r="B5596" s="42"/>
      <c r="C5596" s="42"/>
      <c r="D5596" s="42"/>
      <c r="E5596" s="42"/>
      <c r="F5596" s="42"/>
    </row>
    <row r="5597" spans="1:6" ht="23.25" thickBot="1" x14ac:dyDescent="0.3">
      <c r="A5597" s="4" t="s">
        <v>19</v>
      </c>
      <c r="B5597" s="4" t="s">
        <v>20</v>
      </c>
      <c r="C5597" s="4" t="s">
        <v>21</v>
      </c>
      <c r="D5597" s="4" t="s">
        <v>22</v>
      </c>
      <c r="E5597" s="4" t="s">
        <v>23</v>
      </c>
      <c r="F5597" s="4" t="s">
        <v>24</v>
      </c>
    </row>
    <row r="5598" spans="1:6" ht="15.75" thickBot="1" x14ac:dyDescent="0.3">
      <c r="A5598" s="32" t="s">
        <v>221</v>
      </c>
      <c r="B5598" s="32" t="s">
        <v>222</v>
      </c>
      <c r="C5598" s="6" t="s">
        <v>129</v>
      </c>
      <c r="D5598" s="6" t="s">
        <v>140</v>
      </c>
      <c r="E5598" s="32" t="s">
        <v>29</v>
      </c>
      <c r="F5598" s="6"/>
    </row>
    <row r="5599" spans="1:6" ht="15.75" thickBot="1" x14ac:dyDescent="0.3">
      <c r="A5599" s="35" t="s">
        <v>31</v>
      </c>
      <c r="B5599" s="7" t="s">
        <v>32</v>
      </c>
      <c r="C5599" s="15">
        <v>45566</v>
      </c>
      <c r="D5599" s="35" t="s">
        <v>33</v>
      </c>
      <c r="E5599" s="7" t="s">
        <v>34</v>
      </c>
      <c r="F5599" s="6"/>
    </row>
    <row r="5600" spans="1:6" ht="15.75" thickBot="1" x14ac:dyDescent="0.3">
      <c r="A5600" s="36"/>
      <c r="B5600" s="7" t="s">
        <v>36</v>
      </c>
      <c r="C5600" s="5">
        <f>IF(C5599="","",IF(AND(MONTH(C5599)&gt;=1,MONTH(C5599)&lt;=3),1,IF(AND(MONTH(C5599)&gt;=4,MONTH(C5599)&lt;=6),2,IF(AND(MONTH(C5599)&gt;=7,MONTH(C5599)&lt;=9),3,4))))</f>
        <v>4</v>
      </c>
      <c r="D5600" s="36"/>
      <c r="E5600" s="7" t="s">
        <v>37</v>
      </c>
      <c r="F5600" s="6"/>
    </row>
    <row r="5601" spans="1:6" ht="15.75" thickBot="1" x14ac:dyDescent="0.3">
      <c r="A5601" s="36"/>
      <c r="B5601" s="7" t="s">
        <v>39</v>
      </c>
      <c r="C5601" s="15">
        <v>45656</v>
      </c>
      <c r="D5601" s="36"/>
      <c r="E5601" s="7" t="s">
        <v>40</v>
      </c>
      <c r="F5601" s="6"/>
    </row>
    <row r="5602" spans="1:6" ht="15.75" thickBot="1" x14ac:dyDescent="0.3">
      <c r="A5602" s="36"/>
      <c r="B5602" s="7" t="s">
        <v>36</v>
      </c>
      <c r="C5602" s="5">
        <f>IF(C5601="","",IF(AND(MONTH(C5601)&gt;=1,MONTH(C5601)&lt;=3),1,IF(AND(MONTH(C5601)&gt;=4,MONTH(C5601)&lt;=6),2,IF(AND(MONTH(C5601)&gt;=7,MONTH(C5601)&lt;=9),3,4))))</f>
        <v>4</v>
      </c>
      <c r="D5602" s="36"/>
      <c r="E5602" s="7" t="s">
        <v>41</v>
      </c>
      <c r="F5602" s="6"/>
    </row>
    <row r="5603" spans="1:6" ht="15.75" thickBot="1" x14ac:dyDescent="0.3">
      <c r="A5603" s="40"/>
      <c r="B5603" s="40"/>
      <c r="C5603" s="40"/>
      <c r="D5603" s="40"/>
      <c r="E5603" s="40"/>
      <c r="F5603" s="40"/>
    </row>
    <row r="5604" spans="1:6" ht="15.75" thickBot="1" x14ac:dyDescent="0.3">
      <c r="A5604" s="12" t="s">
        <v>42</v>
      </c>
      <c r="B5604" s="12" t="s">
        <v>43</v>
      </c>
      <c r="C5604" s="12" t="s">
        <v>44</v>
      </c>
      <c r="D5604" s="12" t="s">
        <v>45</v>
      </c>
      <c r="E5604" s="12" t="s">
        <v>46</v>
      </c>
      <c r="F5604" s="12" t="s">
        <v>47</v>
      </c>
    </row>
    <row r="5605" spans="1:6" x14ac:dyDescent="0.25">
      <c r="A5605" s="8">
        <v>90101802</v>
      </c>
      <c r="B5605" s="9" t="str">
        <f ca="1">IFERROR(INDEX(UNSPSCDes,MATCH(INDIRECT(ADDRESS(ROW(),COLUMN()-1,4)),UNSPSCCode,0)),"")</f>
        <v>Servicios de comidas a domicilio</v>
      </c>
      <c r="C5605" s="8" t="s">
        <v>55</v>
      </c>
      <c r="D5605" s="8">
        <v>10</v>
      </c>
      <c r="E5605" s="11">
        <v>44999900</v>
      </c>
      <c r="F5605" s="10">
        <f ca="1">INDIRECT(ADDRESS(ROW(),COLUMN()-2,4))*INDIRECT(ADDRESS(ROW(),COLUMN()-1,4))</f>
        <v>449999000</v>
      </c>
    </row>
    <row r="5606" spans="1:6" x14ac:dyDescent="0.25">
      <c r="A5606" s="40"/>
      <c r="B5606" s="40"/>
      <c r="C5606" s="40"/>
      <c r="D5606" s="40"/>
      <c r="E5606" s="13" t="s">
        <v>87</v>
      </c>
      <c r="F5606" s="14">
        <f ca="1">SUM(Table350220[MONTO TOTAL ESTIMADO])</f>
        <v>449999000</v>
      </c>
    </row>
    <row r="5607" spans="1:6" ht="15.75" thickBot="1" x14ac:dyDescent="0.3">
      <c r="A5607" s="42"/>
      <c r="B5607" s="42"/>
      <c r="C5607" s="42"/>
      <c r="D5607" s="42"/>
      <c r="E5607" s="42"/>
      <c r="F5607" s="42"/>
    </row>
    <row r="5608" spans="1:6" ht="23.25" thickBot="1" x14ac:dyDescent="0.3">
      <c r="A5608" s="4" t="s">
        <v>19</v>
      </c>
      <c r="B5608" s="4" t="s">
        <v>20</v>
      </c>
      <c r="C5608" s="4" t="s">
        <v>21</v>
      </c>
      <c r="D5608" s="4" t="s">
        <v>22</v>
      </c>
      <c r="E5608" s="4" t="s">
        <v>23</v>
      </c>
      <c r="F5608" s="4" t="s">
        <v>24</v>
      </c>
    </row>
    <row r="5609" spans="1:6" ht="15.75" thickBot="1" x14ac:dyDescent="0.3">
      <c r="A5609" s="32" t="s">
        <v>224</v>
      </c>
      <c r="B5609" s="32" t="s">
        <v>225</v>
      </c>
      <c r="C5609" s="6" t="s">
        <v>27</v>
      </c>
      <c r="D5609" s="6" t="s">
        <v>140</v>
      </c>
      <c r="E5609" s="32" t="s">
        <v>29</v>
      </c>
      <c r="F5609" s="6"/>
    </row>
    <row r="5610" spans="1:6" ht="15.75" thickBot="1" x14ac:dyDescent="0.3">
      <c r="A5610" s="35" t="s">
        <v>31</v>
      </c>
      <c r="B5610" s="7" t="s">
        <v>32</v>
      </c>
      <c r="C5610" s="15">
        <v>45566</v>
      </c>
      <c r="D5610" s="35" t="s">
        <v>33</v>
      </c>
      <c r="E5610" s="7" t="s">
        <v>34</v>
      </c>
      <c r="F5610" s="6"/>
    </row>
    <row r="5611" spans="1:6" ht="15.75" thickBot="1" x14ac:dyDescent="0.3">
      <c r="A5611" s="36"/>
      <c r="B5611" s="7" t="s">
        <v>36</v>
      </c>
      <c r="C5611" s="5">
        <f>IF(C5610="","",IF(AND(MONTH(C5610)&gt;=1,MONTH(C5610)&lt;=3),1,IF(AND(MONTH(C5610)&gt;=4,MONTH(C5610)&lt;=6),2,IF(AND(MONTH(C5610)&gt;=7,MONTH(C5610)&lt;=9),3,4))))</f>
        <v>4</v>
      </c>
      <c r="D5611" s="36"/>
      <c r="E5611" s="7" t="s">
        <v>37</v>
      </c>
      <c r="F5611" s="6"/>
    </row>
    <row r="5612" spans="1:6" ht="15.75" thickBot="1" x14ac:dyDescent="0.3">
      <c r="A5612" s="36"/>
      <c r="B5612" s="7" t="s">
        <v>39</v>
      </c>
      <c r="C5612" s="15">
        <v>45656</v>
      </c>
      <c r="D5612" s="36"/>
      <c r="E5612" s="7" t="s">
        <v>40</v>
      </c>
      <c r="F5612" s="6"/>
    </row>
    <row r="5613" spans="1:6" ht="15.75" thickBot="1" x14ac:dyDescent="0.3">
      <c r="A5613" s="36"/>
      <c r="B5613" s="7" t="s">
        <v>36</v>
      </c>
      <c r="C5613" s="5">
        <f>IF(C5612="","",IF(AND(MONTH(C5612)&gt;=1,MONTH(C5612)&lt;=3),1,IF(AND(MONTH(C5612)&gt;=4,MONTH(C5612)&lt;=6),2,IF(AND(MONTH(C5612)&gt;=7,MONTH(C5612)&lt;=9),3,4))))</f>
        <v>4</v>
      </c>
      <c r="D5613" s="36"/>
      <c r="E5613" s="7" t="s">
        <v>41</v>
      </c>
      <c r="F5613" s="6"/>
    </row>
    <row r="5614" spans="1:6" ht="15.75" thickBot="1" x14ac:dyDescent="0.3">
      <c r="A5614" s="40"/>
      <c r="B5614" s="40"/>
      <c r="C5614" s="40"/>
      <c r="D5614" s="40"/>
      <c r="E5614" s="40"/>
      <c r="F5614" s="40"/>
    </row>
    <row r="5615" spans="1:6" ht="15.75" thickBot="1" x14ac:dyDescent="0.3">
      <c r="A5615" s="12" t="s">
        <v>42</v>
      </c>
      <c r="B5615" s="12" t="s">
        <v>43</v>
      </c>
      <c r="C5615" s="12" t="s">
        <v>44</v>
      </c>
      <c r="D5615" s="12" t="s">
        <v>45</v>
      </c>
      <c r="E5615" s="12" t="s">
        <v>46</v>
      </c>
      <c r="F5615" s="12" t="s">
        <v>47</v>
      </c>
    </row>
    <row r="5616" spans="1:6" x14ac:dyDescent="0.25">
      <c r="A5616" s="41">
        <v>44121701</v>
      </c>
      <c r="B5616" s="9" t="str">
        <f t="shared" ref="B5616:B5647" ca="1" si="114">IFERROR(INDEX(UNSPSCDes,MATCH(INDIRECT(ADDRESS(ROW(),COLUMN()-1,4)),UNSPSCCode,0)),"")</f>
        <v>Bolígrafos</v>
      </c>
      <c r="C5616" s="8" t="s">
        <v>55</v>
      </c>
      <c r="D5616" s="8">
        <v>18000</v>
      </c>
      <c r="E5616" s="11">
        <v>9.44</v>
      </c>
      <c r="F5616" s="10">
        <f t="shared" ref="F5616:F5674" ca="1" si="115">INDIRECT(ADDRESS(ROW(),COLUMN()-2,4))*INDIRECT(ADDRESS(ROW(),COLUMN()-1,4))</f>
        <v>169920</v>
      </c>
    </row>
    <row r="5617" spans="1:6" x14ac:dyDescent="0.25">
      <c r="A5617" s="41">
        <v>44121703</v>
      </c>
      <c r="B5617" s="9" t="str">
        <f t="shared" ca="1" si="114"/>
        <v>Estilógrafos</v>
      </c>
      <c r="C5617" s="33" t="s">
        <v>55</v>
      </c>
      <c r="D5617" s="8">
        <v>3600</v>
      </c>
      <c r="E5617" s="11">
        <v>22.22</v>
      </c>
      <c r="F5617" s="10">
        <f t="shared" ca="1" si="115"/>
        <v>79992</v>
      </c>
    </row>
    <row r="5618" spans="1:6" x14ac:dyDescent="0.25">
      <c r="A5618" s="41">
        <v>44121706</v>
      </c>
      <c r="B5618" s="9" t="str">
        <f t="shared" ca="1" si="114"/>
        <v>Lápices de madera</v>
      </c>
      <c r="C5618" s="33" t="s">
        <v>55</v>
      </c>
      <c r="D5618" s="8">
        <v>4800</v>
      </c>
      <c r="E5618" s="11">
        <v>16.75</v>
      </c>
      <c r="F5618" s="10">
        <f t="shared" ca="1" si="115"/>
        <v>80400</v>
      </c>
    </row>
    <row r="5619" spans="1:6" x14ac:dyDescent="0.25">
      <c r="A5619" s="41">
        <v>44121708</v>
      </c>
      <c r="B5619" s="9" t="str">
        <f t="shared" ca="1" si="114"/>
        <v>Marcadores</v>
      </c>
      <c r="C5619" s="33" t="s">
        <v>55</v>
      </c>
      <c r="D5619" s="8">
        <v>1050</v>
      </c>
      <c r="E5619" s="11">
        <v>152.38</v>
      </c>
      <c r="F5619" s="10">
        <f t="shared" ca="1" si="115"/>
        <v>159999</v>
      </c>
    </row>
    <row r="5620" spans="1:6" x14ac:dyDescent="0.25">
      <c r="A5620" s="41">
        <v>44121716</v>
      </c>
      <c r="B5620" s="9" t="str">
        <f t="shared" ca="1" si="114"/>
        <v>Resaltadores</v>
      </c>
      <c r="C5620" s="33" t="s">
        <v>55</v>
      </c>
      <c r="D5620" s="8">
        <v>3000</v>
      </c>
      <c r="E5620" s="11">
        <v>23.33</v>
      </c>
      <c r="F5620" s="10">
        <f t="shared" ca="1" si="115"/>
        <v>69990</v>
      </c>
    </row>
    <row r="5621" spans="1:6" x14ac:dyDescent="0.25">
      <c r="A5621" s="41">
        <v>44121708</v>
      </c>
      <c r="B5621" s="9" t="str">
        <f t="shared" ca="1" si="114"/>
        <v>Marcadores</v>
      </c>
      <c r="C5621" s="33" t="s">
        <v>55</v>
      </c>
      <c r="D5621" s="8">
        <v>4500</v>
      </c>
      <c r="E5621" s="11">
        <v>35.56</v>
      </c>
      <c r="F5621" s="10">
        <f t="shared" ca="1" si="115"/>
        <v>160020</v>
      </c>
    </row>
    <row r="5622" spans="1:6" x14ac:dyDescent="0.25">
      <c r="A5622" s="41">
        <v>44121804</v>
      </c>
      <c r="B5622" s="9" t="str">
        <f t="shared" ca="1" si="114"/>
        <v>Borradores</v>
      </c>
      <c r="C5622" s="33" t="s">
        <v>55</v>
      </c>
      <c r="D5622" s="8">
        <v>1000</v>
      </c>
      <c r="E5622" s="11">
        <v>22</v>
      </c>
      <c r="F5622" s="10">
        <f t="shared" ca="1" si="115"/>
        <v>22000</v>
      </c>
    </row>
    <row r="5623" spans="1:6" x14ac:dyDescent="0.25">
      <c r="A5623" s="41">
        <v>44121628</v>
      </c>
      <c r="B5623" s="9" t="str">
        <f t="shared" ca="1" si="114"/>
        <v>Contenedores o dispensadores de clips</v>
      </c>
      <c r="C5623" s="33" t="s">
        <v>55</v>
      </c>
      <c r="D5623" s="8">
        <v>750</v>
      </c>
      <c r="E5623" s="11">
        <v>73.33</v>
      </c>
      <c r="F5623" s="10">
        <f t="shared" ca="1" si="115"/>
        <v>54997.5</v>
      </c>
    </row>
    <row r="5624" spans="1:6" x14ac:dyDescent="0.25">
      <c r="A5624" s="41">
        <v>44122104</v>
      </c>
      <c r="B5624" s="9" t="str">
        <f t="shared" ca="1" si="114"/>
        <v>Clips para papel</v>
      </c>
      <c r="C5624" s="8" t="s">
        <v>49</v>
      </c>
      <c r="D5624" s="8">
        <v>3000</v>
      </c>
      <c r="E5624" s="11">
        <v>96</v>
      </c>
      <c r="F5624" s="10">
        <f t="shared" ca="1" si="115"/>
        <v>288000</v>
      </c>
    </row>
    <row r="5625" spans="1:6" x14ac:dyDescent="0.25">
      <c r="A5625" s="41">
        <v>44122104</v>
      </c>
      <c r="B5625" s="9" t="str">
        <f t="shared" ca="1" si="114"/>
        <v>Clips para papel</v>
      </c>
      <c r="C5625" s="33" t="s">
        <v>49</v>
      </c>
      <c r="D5625" s="8">
        <v>3000</v>
      </c>
      <c r="E5625" s="11">
        <v>104</v>
      </c>
      <c r="F5625" s="10">
        <f t="shared" ca="1" si="115"/>
        <v>312000</v>
      </c>
    </row>
    <row r="5626" spans="1:6" x14ac:dyDescent="0.25">
      <c r="A5626" s="41">
        <v>44122105</v>
      </c>
      <c r="B5626" s="9" t="str">
        <f t="shared" ca="1" si="114"/>
        <v>Clips para carpetas o bulldog</v>
      </c>
      <c r="C5626" s="33" t="s">
        <v>49</v>
      </c>
      <c r="D5626" s="8">
        <v>750</v>
      </c>
      <c r="E5626" s="11">
        <v>466.67</v>
      </c>
      <c r="F5626" s="10">
        <f t="shared" ca="1" si="115"/>
        <v>350002.5</v>
      </c>
    </row>
    <row r="5627" spans="1:6" x14ac:dyDescent="0.25">
      <c r="A5627" s="41">
        <v>44122105</v>
      </c>
      <c r="B5627" s="9" t="str">
        <f t="shared" ca="1" si="114"/>
        <v>Clips para carpetas o bulldog</v>
      </c>
      <c r="C5627" s="33" t="s">
        <v>49</v>
      </c>
      <c r="D5627" s="8">
        <v>2000</v>
      </c>
      <c r="E5627" s="11">
        <v>175</v>
      </c>
      <c r="F5627" s="10">
        <f t="shared" ca="1" si="115"/>
        <v>350000</v>
      </c>
    </row>
    <row r="5628" spans="1:6" x14ac:dyDescent="0.25">
      <c r="A5628" s="41">
        <v>44122105</v>
      </c>
      <c r="B5628" s="9" t="str">
        <f t="shared" ca="1" si="114"/>
        <v>Clips para carpetas o bulldog</v>
      </c>
      <c r="C5628" s="33" t="s">
        <v>49</v>
      </c>
      <c r="D5628" s="8">
        <v>3500</v>
      </c>
      <c r="E5628" s="11">
        <v>102.85</v>
      </c>
      <c r="F5628" s="10">
        <f t="shared" ca="1" si="115"/>
        <v>359975</v>
      </c>
    </row>
    <row r="5629" spans="1:6" x14ac:dyDescent="0.25">
      <c r="A5629" s="41">
        <v>31201610</v>
      </c>
      <c r="B5629" s="9" t="str">
        <f t="shared" ca="1" si="114"/>
        <v>Pegamentos</v>
      </c>
      <c r="C5629" s="33" t="s">
        <v>55</v>
      </c>
      <c r="D5629" s="8">
        <v>100</v>
      </c>
      <c r="E5629" s="11">
        <v>700</v>
      </c>
      <c r="F5629" s="10">
        <f t="shared" ca="1" si="115"/>
        <v>70000</v>
      </c>
    </row>
    <row r="5630" spans="1:6" x14ac:dyDescent="0.25">
      <c r="A5630" s="41">
        <v>31201610</v>
      </c>
      <c r="B5630" s="9" t="str">
        <f t="shared" ca="1" si="114"/>
        <v>Pegamentos</v>
      </c>
      <c r="C5630" s="33" t="s">
        <v>55</v>
      </c>
      <c r="D5630" s="8">
        <v>100</v>
      </c>
      <c r="E5630" s="11">
        <v>550</v>
      </c>
      <c r="F5630" s="10">
        <f t="shared" ca="1" si="115"/>
        <v>55000</v>
      </c>
    </row>
    <row r="5631" spans="1:6" x14ac:dyDescent="0.25">
      <c r="A5631" s="41">
        <v>14111530</v>
      </c>
      <c r="B5631" s="9" t="str">
        <f t="shared" ca="1" si="114"/>
        <v>Papel de notas autoadhesivas</v>
      </c>
      <c r="C5631" s="33" t="s">
        <v>55</v>
      </c>
      <c r="D5631" s="8">
        <v>2500</v>
      </c>
      <c r="E5631" s="11">
        <v>96</v>
      </c>
      <c r="F5631" s="10">
        <f t="shared" ca="1" si="115"/>
        <v>240000</v>
      </c>
    </row>
    <row r="5632" spans="1:6" x14ac:dyDescent="0.25">
      <c r="A5632" s="41">
        <v>14111530</v>
      </c>
      <c r="B5632" s="9" t="str">
        <f t="shared" ca="1" si="114"/>
        <v>Papel de notas autoadhesivas</v>
      </c>
      <c r="C5632" s="33" t="s">
        <v>55</v>
      </c>
      <c r="D5632" s="8">
        <v>3000</v>
      </c>
      <c r="E5632" s="11">
        <v>80</v>
      </c>
      <c r="F5632" s="10">
        <f t="shared" ca="1" si="115"/>
        <v>240000</v>
      </c>
    </row>
    <row r="5633" spans="1:6" x14ac:dyDescent="0.25">
      <c r="A5633" s="41">
        <v>14111530</v>
      </c>
      <c r="B5633" s="9" t="str">
        <f t="shared" ca="1" si="114"/>
        <v>Papel de notas autoadhesivas</v>
      </c>
      <c r="C5633" s="33" t="s">
        <v>55</v>
      </c>
      <c r="D5633" s="8">
        <v>3000</v>
      </c>
      <c r="E5633" s="11">
        <v>73.33</v>
      </c>
      <c r="F5633" s="10">
        <f t="shared" ca="1" si="115"/>
        <v>219990</v>
      </c>
    </row>
    <row r="5634" spans="1:6" x14ac:dyDescent="0.25">
      <c r="A5634" s="41">
        <v>60121702</v>
      </c>
      <c r="B5634" s="9" t="str">
        <f t="shared" ca="1" si="114"/>
        <v>Almohadilla para sellos de estampación de caucho</v>
      </c>
      <c r="C5634" s="33" t="s">
        <v>55</v>
      </c>
      <c r="D5634" s="8">
        <v>20</v>
      </c>
      <c r="E5634" s="11">
        <v>6000</v>
      </c>
      <c r="F5634" s="10">
        <f t="shared" ca="1" si="115"/>
        <v>120000</v>
      </c>
    </row>
    <row r="5635" spans="1:6" x14ac:dyDescent="0.25">
      <c r="A5635" s="41">
        <v>44122106</v>
      </c>
      <c r="B5635" s="9" t="str">
        <f t="shared" ca="1" si="114"/>
        <v>Alfileres o taches</v>
      </c>
      <c r="C5635" s="33" t="s">
        <v>55</v>
      </c>
      <c r="D5635" s="8">
        <v>350</v>
      </c>
      <c r="E5635" s="11">
        <v>228.57</v>
      </c>
      <c r="F5635" s="10">
        <f t="shared" ca="1" si="115"/>
        <v>79999.5</v>
      </c>
    </row>
    <row r="5636" spans="1:6" x14ac:dyDescent="0.25">
      <c r="A5636" s="41">
        <v>44101713</v>
      </c>
      <c r="B5636" s="9" t="str">
        <f t="shared" ca="1" si="114"/>
        <v>Contadores de copias</v>
      </c>
      <c r="C5636" s="33" t="s">
        <v>55</v>
      </c>
      <c r="D5636" s="8">
        <v>100</v>
      </c>
      <c r="E5636" s="11">
        <v>750</v>
      </c>
      <c r="F5636" s="10">
        <f t="shared" ca="1" si="115"/>
        <v>75000</v>
      </c>
    </row>
    <row r="5637" spans="1:6" x14ac:dyDescent="0.25">
      <c r="A5637" s="41">
        <v>44122101</v>
      </c>
      <c r="B5637" s="9" t="str">
        <f t="shared" ca="1" si="114"/>
        <v>Cauchos</v>
      </c>
      <c r="C5637" s="33" t="s">
        <v>49</v>
      </c>
      <c r="D5637" s="8">
        <v>2500</v>
      </c>
      <c r="E5637" s="11">
        <v>132</v>
      </c>
      <c r="F5637" s="10">
        <f t="shared" ca="1" si="115"/>
        <v>330000</v>
      </c>
    </row>
    <row r="5638" spans="1:6" x14ac:dyDescent="0.25">
      <c r="A5638" s="41">
        <v>44122101</v>
      </c>
      <c r="B5638" s="9" t="str">
        <f t="shared" ca="1" si="114"/>
        <v>Cauchos</v>
      </c>
      <c r="C5638" s="33" t="s">
        <v>49</v>
      </c>
      <c r="D5638" s="8">
        <v>2500</v>
      </c>
      <c r="E5638" s="11">
        <v>120</v>
      </c>
      <c r="F5638" s="10">
        <f t="shared" ca="1" si="115"/>
        <v>300000</v>
      </c>
    </row>
    <row r="5639" spans="1:6" x14ac:dyDescent="0.25">
      <c r="A5639" s="41">
        <v>44121804</v>
      </c>
      <c r="B5639" s="9" t="str">
        <f t="shared" ca="1" si="114"/>
        <v>Borradores</v>
      </c>
      <c r="C5639" s="33" t="s">
        <v>55</v>
      </c>
      <c r="D5639" s="8">
        <v>20</v>
      </c>
      <c r="E5639" s="11">
        <v>500</v>
      </c>
      <c r="F5639" s="10">
        <f t="shared" ca="1" si="115"/>
        <v>10000</v>
      </c>
    </row>
    <row r="5640" spans="1:6" x14ac:dyDescent="0.25">
      <c r="A5640" s="41">
        <v>44121802</v>
      </c>
      <c r="B5640" s="9" t="str">
        <f t="shared" ca="1" si="114"/>
        <v>Fluido de corrección</v>
      </c>
      <c r="C5640" s="33" t="s">
        <v>55</v>
      </c>
      <c r="D5640" s="8">
        <v>25</v>
      </c>
      <c r="E5640" s="11">
        <v>400</v>
      </c>
      <c r="F5640" s="10">
        <f t="shared" ca="1" si="115"/>
        <v>10000</v>
      </c>
    </row>
    <row r="5641" spans="1:6" x14ac:dyDescent="0.25">
      <c r="A5641" s="41">
        <v>31201512</v>
      </c>
      <c r="B5641" s="9" t="str">
        <f t="shared" ca="1" si="114"/>
        <v>Cinta transparente</v>
      </c>
      <c r="C5641" s="33" t="s">
        <v>55</v>
      </c>
      <c r="D5641" s="8">
        <v>2000</v>
      </c>
      <c r="E5641" s="11">
        <v>100</v>
      </c>
      <c r="F5641" s="10">
        <f t="shared" ca="1" si="115"/>
        <v>200000</v>
      </c>
    </row>
    <row r="5642" spans="1:6" x14ac:dyDescent="0.25">
      <c r="A5642" s="41">
        <v>31201512</v>
      </c>
      <c r="B5642" s="9" t="str">
        <f t="shared" ca="1" si="114"/>
        <v>Cinta transparente</v>
      </c>
      <c r="C5642" s="33" t="s">
        <v>55</v>
      </c>
      <c r="D5642" s="8">
        <v>1000</v>
      </c>
      <c r="E5642" s="11">
        <v>150</v>
      </c>
      <c r="F5642" s="10">
        <f t="shared" ca="1" si="115"/>
        <v>150000</v>
      </c>
    </row>
    <row r="5643" spans="1:6" x14ac:dyDescent="0.25">
      <c r="A5643" s="41">
        <v>44121635</v>
      </c>
      <c r="B5643" s="9" t="str">
        <f t="shared" ca="1" si="114"/>
        <v>Husos para cinta adhesiva</v>
      </c>
      <c r="C5643" s="33" t="s">
        <v>55</v>
      </c>
      <c r="D5643" s="8">
        <v>250</v>
      </c>
      <c r="E5643" s="11">
        <v>320</v>
      </c>
      <c r="F5643" s="10">
        <f t="shared" ca="1" si="115"/>
        <v>80000</v>
      </c>
    </row>
    <row r="5644" spans="1:6" x14ac:dyDescent="0.25">
      <c r="A5644" s="41">
        <v>44121635</v>
      </c>
      <c r="B5644" s="9" t="str">
        <f t="shared" ca="1" si="114"/>
        <v>Husos para cinta adhesiva</v>
      </c>
      <c r="C5644" s="33" t="s">
        <v>55</v>
      </c>
      <c r="D5644" s="8">
        <v>20</v>
      </c>
      <c r="E5644" s="11">
        <v>4000</v>
      </c>
      <c r="F5644" s="10">
        <f t="shared" ca="1" si="115"/>
        <v>80000</v>
      </c>
    </row>
    <row r="5645" spans="1:6" x14ac:dyDescent="0.25">
      <c r="A5645" s="41">
        <v>44121613</v>
      </c>
      <c r="B5645" s="9" t="str">
        <f t="shared" ca="1" si="114"/>
        <v>Removedores de grapas (saca ganchos)</v>
      </c>
      <c r="C5645" s="33" t="s">
        <v>55</v>
      </c>
      <c r="D5645" s="8">
        <v>200</v>
      </c>
      <c r="E5645" s="11">
        <v>700</v>
      </c>
      <c r="F5645" s="10">
        <f t="shared" ca="1" si="115"/>
        <v>140000</v>
      </c>
    </row>
    <row r="5646" spans="1:6" x14ac:dyDescent="0.25">
      <c r="A5646" s="41">
        <v>44121613</v>
      </c>
      <c r="B5646" s="9" t="str">
        <f t="shared" ca="1" si="114"/>
        <v>Removedores de grapas (saca ganchos)</v>
      </c>
      <c r="C5646" s="33" t="s">
        <v>55</v>
      </c>
      <c r="D5646" s="8">
        <v>500</v>
      </c>
      <c r="E5646" s="11">
        <v>70</v>
      </c>
      <c r="F5646" s="10">
        <f t="shared" ca="1" si="115"/>
        <v>35000</v>
      </c>
    </row>
    <row r="5647" spans="1:6" x14ac:dyDescent="0.25">
      <c r="A5647" s="41">
        <v>44121615</v>
      </c>
      <c r="B5647" s="9" t="str">
        <f t="shared" ca="1" si="114"/>
        <v>Grapadoras</v>
      </c>
      <c r="C5647" s="33" t="s">
        <v>55</v>
      </c>
      <c r="D5647" s="8">
        <v>500</v>
      </c>
      <c r="E5647" s="11">
        <v>300</v>
      </c>
      <c r="F5647" s="10">
        <f t="shared" ca="1" si="115"/>
        <v>150000</v>
      </c>
    </row>
    <row r="5648" spans="1:6" x14ac:dyDescent="0.25">
      <c r="A5648" s="41">
        <v>44122107</v>
      </c>
      <c r="B5648" s="9" t="str">
        <f t="shared" ref="B5648:B5674" ca="1" si="116">IFERROR(INDEX(UNSPSCDes,MATCH(INDIRECT(ADDRESS(ROW(),COLUMN()-1,4)),UNSPSCCode,0)),"")</f>
        <v>Grapas</v>
      </c>
      <c r="C5648" s="33" t="s">
        <v>49</v>
      </c>
      <c r="D5648" s="8">
        <v>2500</v>
      </c>
      <c r="E5648" s="11">
        <v>80</v>
      </c>
      <c r="F5648" s="10">
        <f t="shared" ca="1" si="115"/>
        <v>200000</v>
      </c>
    </row>
    <row r="5649" spans="1:6" x14ac:dyDescent="0.25">
      <c r="A5649" s="41">
        <v>44122107</v>
      </c>
      <c r="B5649" s="9" t="str">
        <f t="shared" ca="1" si="116"/>
        <v>Grapas</v>
      </c>
      <c r="C5649" s="33" t="s">
        <v>49</v>
      </c>
      <c r="D5649" s="8">
        <v>100</v>
      </c>
      <c r="E5649" s="11">
        <v>150</v>
      </c>
      <c r="F5649" s="10">
        <f t="shared" ca="1" si="115"/>
        <v>15000</v>
      </c>
    </row>
    <row r="5650" spans="1:6" x14ac:dyDescent="0.25">
      <c r="A5650" s="41">
        <v>27112121</v>
      </c>
      <c r="B5650" s="9" t="str">
        <f t="shared" ca="1" si="116"/>
        <v>Grapa de ángulo</v>
      </c>
      <c r="C5650" s="33" t="s">
        <v>49</v>
      </c>
      <c r="D5650" s="8">
        <v>20</v>
      </c>
      <c r="E5650" s="11">
        <v>200</v>
      </c>
      <c r="F5650" s="10">
        <f t="shared" ca="1" si="115"/>
        <v>4000</v>
      </c>
    </row>
    <row r="5651" spans="1:6" x14ac:dyDescent="0.25">
      <c r="A5651" s="41">
        <v>44121619</v>
      </c>
      <c r="B5651" s="9" t="str">
        <f t="shared" ca="1" si="116"/>
        <v>Tajalápices manuales</v>
      </c>
      <c r="C5651" s="33" t="s">
        <v>55</v>
      </c>
      <c r="D5651" s="8">
        <v>25</v>
      </c>
      <c r="E5651" s="11">
        <v>1500</v>
      </c>
      <c r="F5651" s="10">
        <f t="shared" ca="1" si="115"/>
        <v>37500</v>
      </c>
    </row>
    <row r="5652" spans="1:6" x14ac:dyDescent="0.25">
      <c r="A5652" s="41">
        <v>44121618</v>
      </c>
      <c r="B5652" s="9" t="str">
        <f t="shared" ca="1" si="116"/>
        <v>Tijeras</v>
      </c>
      <c r="C5652" s="33" t="s">
        <v>55</v>
      </c>
      <c r="D5652" s="8">
        <v>500</v>
      </c>
      <c r="E5652" s="11">
        <v>20</v>
      </c>
      <c r="F5652" s="10">
        <f t="shared" ca="1" si="115"/>
        <v>10000</v>
      </c>
    </row>
    <row r="5653" spans="1:6" x14ac:dyDescent="0.25">
      <c r="A5653" s="43">
        <v>44111509</v>
      </c>
      <c r="B5653" s="9" t="str">
        <f t="shared" ca="1" si="116"/>
        <v>Sujetadores de esferos o lápices</v>
      </c>
      <c r="C5653" s="33" t="s">
        <v>55</v>
      </c>
      <c r="D5653" s="8">
        <v>200</v>
      </c>
      <c r="E5653" s="11">
        <v>145</v>
      </c>
      <c r="F5653" s="10">
        <f t="shared" ca="1" si="115"/>
        <v>29000</v>
      </c>
    </row>
    <row r="5654" spans="1:6" x14ac:dyDescent="0.25">
      <c r="A5654" s="41">
        <v>44122012</v>
      </c>
      <c r="B5654" s="9" t="str">
        <f t="shared" ca="1" si="116"/>
        <v>Portapapeles</v>
      </c>
      <c r="C5654" s="33" t="s">
        <v>55</v>
      </c>
      <c r="D5654" s="8">
        <v>400</v>
      </c>
      <c r="E5654" s="11">
        <v>195</v>
      </c>
      <c r="F5654" s="10">
        <f t="shared" ca="1" si="115"/>
        <v>78000</v>
      </c>
    </row>
    <row r="5655" spans="1:6" x14ac:dyDescent="0.25">
      <c r="A5655" s="41">
        <v>27111503</v>
      </c>
      <c r="B5655" s="9" t="str">
        <f t="shared" ca="1" si="116"/>
        <v>Cuchillos de diversas aplicaciones</v>
      </c>
      <c r="C5655" s="33" t="s">
        <v>55</v>
      </c>
      <c r="D5655" s="8">
        <v>40</v>
      </c>
      <c r="E5655" s="11">
        <v>80</v>
      </c>
      <c r="F5655" s="10">
        <f t="shared" ca="1" si="115"/>
        <v>3200</v>
      </c>
    </row>
    <row r="5656" spans="1:6" x14ac:dyDescent="0.25">
      <c r="A5656" s="41">
        <v>43211802</v>
      </c>
      <c r="B5656" s="9" t="str">
        <f t="shared" ca="1" si="116"/>
        <v>Almohadillas (pads) para mouse</v>
      </c>
      <c r="C5656" s="33" t="s">
        <v>55</v>
      </c>
      <c r="D5656" s="8">
        <v>300</v>
      </c>
      <c r="E5656" s="11">
        <v>370</v>
      </c>
      <c r="F5656" s="10">
        <f t="shared" ca="1" si="115"/>
        <v>111000</v>
      </c>
    </row>
    <row r="5657" spans="1:6" x14ac:dyDescent="0.25">
      <c r="A5657" s="41">
        <v>44101602</v>
      </c>
      <c r="B5657" s="9" t="str">
        <f t="shared" ca="1" si="116"/>
        <v>Máquinas perforadoras o para unir papel</v>
      </c>
      <c r="C5657" s="33" t="s">
        <v>55</v>
      </c>
      <c r="D5657" s="8">
        <v>300</v>
      </c>
      <c r="E5657" s="11">
        <v>1200</v>
      </c>
      <c r="F5657" s="10">
        <f t="shared" ca="1" si="115"/>
        <v>360000</v>
      </c>
    </row>
    <row r="5658" spans="1:6" x14ac:dyDescent="0.25">
      <c r="A5658" s="41">
        <v>44122002</v>
      </c>
      <c r="B5658" s="9" t="str">
        <f t="shared" ca="1" si="116"/>
        <v>Protectores de hojas</v>
      </c>
      <c r="C5658" s="33" t="s">
        <v>74</v>
      </c>
      <c r="D5658" s="8">
        <v>800</v>
      </c>
      <c r="E5658" s="11">
        <v>37.5</v>
      </c>
      <c r="F5658" s="10">
        <f t="shared" ca="1" si="115"/>
        <v>30000</v>
      </c>
    </row>
    <row r="5659" spans="1:6" x14ac:dyDescent="0.25">
      <c r="A5659" s="41">
        <v>44122010</v>
      </c>
      <c r="B5659" s="9" t="str">
        <f t="shared" ca="1" si="116"/>
        <v>Separadores</v>
      </c>
      <c r="C5659" s="33" t="s">
        <v>74</v>
      </c>
      <c r="D5659" s="8">
        <v>500</v>
      </c>
      <c r="E5659" s="11">
        <v>50</v>
      </c>
      <c r="F5659" s="10">
        <f t="shared" ca="1" si="115"/>
        <v>25000</v>
      </c>
    </row>
    <row r="5660" spans="1:6" x14ac:dyDescent="0.25">
      <c r="A5660" s="41">
        <v>44122003</v>
      </c>
      <c r="B5660" s="9" t="str">
        <f t="shared" ca="1" si="116"/>
        <v>Carpetas</v>
      </c>
      <c r="C5660" s="33" t="s">
        <v>55</v>
      </c>
      <c r="D5660" s="8">
        <v>500</v>
      </c>
      <c r="E5660" s="11">
        <v>300</v>
      </c>
      <c r="F5660" s="10">
        <f t="shared" ca="1" si="115"/>
        <v>150000</v>
      </c>
    </row>
    <row r="5661" spans="1:6" x14ac:dyDescent="0.25">
      <c r="A5661" s="41">
        <v>44122003</v>
      </c>
      <c r="B5661" s="9" t="str">
        <f t="shared" ca="1" si="116"/>
        <v>Carpetas</v>
      </c>
      <c r="C5661" s="33" t="s">
        <v>55</v>
      </c>
      <c r="D5661" s="8">
        <v>600</v>
      </c>
      <c r="E5661" s="11">
        <v>700</v>
      </c>
      <c r="F5661" s="10">
        <f t="shared" ca="1" si="115"/>
        <v>420000</v>
      </c>
    </row>
    <row r="5662" spans="1:6" x14ac:dyDescent="0.25">
      <c r="A5662" s="41">
        <v>44122003</v>
      </c>
      <c r="B5662" s="9" t="str">
        <f t="shared" ca="1" si="116"/>
        <v>Carpetas</v>
      </c>
      <c r="C5662" s="33" t="s">
        <v>55</v>
      </c>
      <c r="D5662" s="8">
        <v>600</v>
      </c>
      <c r="E5662" s="11">
        <v>780</v>
      </c>
      <c r="F5662" s="10">
        <f t="shared" ca="1" si="115"/>
        <v>468000</v>
      </c>
    </row>
    <row r="5663" spans="1:6" x14ac:dyDescent="0.25">
      <c r="A5663" s="41">
        <v>44121503</v>
      </c>
      <c r="B5663" s="9" t="str">
        <f t="shared" ca="1" si="116"/>
        <v>Sobres</v>
      </c>
      <c r="C5663" s="33" t="s">
        <v>49</v>
      </c>
      <c r="D5663" s="8">
        <v>10</v>
      </c>
      <c r="E5663" s="11">
        <v>150</v>
      </c>
      <c r="F5663" s="10">
        <f t="shared" ca="1" si="115"/>
        <v>1500</v>
      </c>
    </row>
    <row r="5664" spans="1:6" x14ac:dyDescent="0.25">
      <c r="A5664" s="41">
        <v>44122011</v>
      </c>
      <c r="B5664" s="9" t="str">
        <f t="shared" ca="1" si="116"/>
        <v>Folders</v>
      </c>
      <c r="C5664" s="33" t="s">
        <v>49</v>
      </c>
      <c r="D5664" s="8">
        <v>200</v>
      </c>
      <c r="E5664" s="11">
        <v>350</v>
      </c>
      <c r="F5664" s="10">
        <f t="shared" ca="1" si="115"/>
        <v>70000</v>
      </c>
    </row>
    <row r="5665" spans="1:6" x14ac:dyDescent="0.25">
      <c r="A5665" s="41">
        <v>44122011</v>
      </c>
      <c r="B5665" s="9" t="str">
        <f t="shared" ca="1" si="116"/>
        <v>Folders</v>
      </c>
      <c r="C5665" s="33" t="s">
        <v>55</v>
      </c>
      <c r="D5665" s="8">
        <v>350</v>
      </c>
      <c r="E5665" s="11">
        <v>428.57</v>
      </c>
      <c r="F5665" s="10">
        <f t="shared" ca="1" si="115"/>
        <v>149999.5</v>
      </c>
    </row>
    <row r="5666" spans="1:6" x14ac:dyDescent="0.25">
      <c r="A5666" s="41">
        <v>44122011</v>
      </c>
      <c r="B5666" s="9" t="str">
        <f t="shared" ca="1" si="116"/>
        <v>Folders</v>
      </c>
      <c r="C5666" s="33" t="s">
        <v>49</v>
      </c>
      <c r="D5666" s="8">
        <v>50</v>
      </c>
      <c r="E5666" s="11">
        <v>1700</v>
      </c>
      <c r="F5666" s="10">
        <f t="shared" ca="1" si="115"/>
        <v>85000</v>
      </c>
    </row>
    <row r="5667" spans="1:6" x14ac:dyDescent="0.25">
      <c r="A5667" s="41">
        <v>44122011</v>
      </c>
      <c r="B5667" s="9" t="str">
        <f t="shared" ca="1" si="116"/>
        <v>Folders</v>
      </c>
      <c r="C5667" s="33" t="s">
        <v>49</v>
      </c>
      <c r="D5667" s="8">
        <v>15</v>
      </c>
      <c r="E5667" s="11">
        <v>6666.67</v>
      </c>
      <c r="F5667" s="10">
        <f t="shared" ca="1" si="115"/>
        <v>100000.05</v>
      </c>
    </row>
    <row r="5668" spans="1:6" x14ac:dyDescent="0.25">
      <c r="A5668" s="41">
        <v>44122011</v>
      </c>
      <c r="B5668" s="9" t="str">
        <f t="shared" ca="1" si="116"/>
        <v>Folders</v>
      </c>
      <c r="C5668" s="33" t="s">
        <v>49</v>
      </c>
      <c r="D5668" s="8">
        <v>300</v>
      </c>
      <c r="E5668" s="11">
        <v>316.67</v>
      </c>
      <c r="F5668" s="10">
        <f t="shared" ca="1" si="115"/>
        <v>95001</v>
      </c>
    </row>
    <row r="5669" spans="1:6" x14ac:dyDescent="0.25">
      <c r="A5669" s="41">
        <v>14111812</v>
      </c>
      <c r="B5669" s="9" t="str">
        <f t="shared" ca="1" si="116"/>
        <v>Formatos o libros de inventarios</v>
      </c>
      <c r="C5669" s="33" t="s">
        <v>55</v>
      </c>
      <c r="D5669" s="8">
        <v>1000</v>
      </c>
      <c r="E5669" s="11">
        <v>250</v>
      </c>
      <c r="F5669" s="10">
        <f t="shared" ca="1" si="115"/>
        <v>250000</v>
      </c>
    </row>
    <row r="5670" spans="1:6" x14ac:dyDescent="0.25">
      <c r="A5670" s="41">
        <v>44112001</v>
      </c>
      <c r="B5670" s="9" t="str">
        <f t="shared" ca="1" si="116"/>
        <v>Libretas de direcciones o repuestos</v>
      </c>
      <c r="C5670" s="33" t="s">
        <v>55</v>
      </c>
      <c r="D5670" s="8">
        <v>1000</v>
      </c>
      <c r="E5670" s="11">
        <v>70</v>
      </c>
      <c r="F5670" s="10">
        <f t="shared" ca="1" si="115"/>
        <v>70000</v>
      </c>
    </row>
    <row r="5671" spans="1:6" x14ac:dyDescent="0.25">
      <c r="A5671" s="41">
        <v>44112001</v>
      </c>
      <c r="B5671" s="9" t="str">
        <f t="shared" ca="1" si="116"/>
        <v>Libretas de direcciones o repuestos</v>
      </c>
      <c r="C5671" s="33" t="s">
        <v>55</v>
      </c>
      <c r="D5671" s="8">
        <v>1000</v>
      </c>
      <c r="E5671" s="11">
        <v>50</v>
      </c>
      <c r="F5671" s="10">
        <f t="shared" ca="1" si="115"/>
        <v>50000</v>
      </c>
    </row>
    <row r="5672" spans="1:6" x14ac:dyDescent="0.25">
      <c r="A5672" s="41">
        <v>44121503</v>
      </c>
      <c r="B5672" s="9" t="str">
        <f t="shared" ca="1" si="116"/>
        <v>Sobres</v>
      </c>
      <c r="C5672" s="33" t="s">
        <v>49</v>
      </c>
      <c r="D5672" s="8">
        <v>100</v>
      </c>
      <c r="E5672" s="11">
        <v>2000</v>
      </c>
      <c r="F5672" s="10">
        <f t="shared" ca="1" si="115"/>
        <v>200000</v>
      </c>
    </row>
    <row r="5673" spans="1:6" x14ac:dyDescent="0.25">
      <c r="A5673" s="41">
        <v>44121503</v>
      </c>
      <c r="B5673" s="9" t="str">
        <f t="shared" ca="1" si="116"/>
        <v>Sobres</v>
      </c>
      <c r="C5673" s="33" t="s">
        <v>49</v>
      </c>
      <c r="D5673" s="8">
        <v>20</v>
      </c>
      <c r="E5673" s="11">
        <v>12500</v>
      </c>
      <c r="F5673" s="10">
        <f t="shared" ca="1" si="115"/>
        <v>250000</v>
      </c>
    </row>
    <row r="5674" spans="1:6" x14ac:dyDescent="0.25">
      <c r="A5674" s="41">
        <v>44122011</v>
      </c>
      <c r="B5674" s="9" t="str">
        <f t="shared" ca="1" si="116"/>
        <v>Folders</v>
      </c>
      <c r="C5674" s="33" t="s">
        <v>49</v>
      </c>
      <c r="D5674" s="8">
        <v>100</v>
      </c>
      <c r="E5674" s="11">
        <v>1900</v>
      </c>
      <c r="F5674" s="10">
        <f t="shared" ca="1" si="115"/>
        <v>190000</v>
      </c>
    </row>
    <row r="5675" spans="1:6" x14ac:dyDescent="0.25">
      <c r="A5675" s="40"/>
      <c r="B5675" s="40"/>
      <c r="C5675" s="40"/>
      <c r="D5675" s="40"/>
      <c r="E5675" s="13" t="s">
        <v>87</v>
      </c>
      <c r="F5675" s="14">
        <f ca="1">SUM(Table351221[MONTO TOTAL ESTIMADO])</f>
        <v>8494486.0500000007</v>
      </c>
    </row>
    <row r="5676" spans="1:6" ht="15.75" thickBot="1" x14ac:dyDescent="0.3">
      <c r="A5676" s="42"/>
      <c r="B5676" s="42"/>
      <c r="C5676" s="42"/>
      <c r="D5676" s="42"/>
      <c r="E5676" s="42"/>
      <c r="F5676" s="42"/>
    </row>
    <row r="5677" spans="1:6" ht="23.25" thickBot="1" x14ac:dyDescent="0.3">
      <c r="A5677" s="4" t="s">
        <v>19</v>
      </c>
      <c r="B5677" s="4" t="s">
        <v>20</v>
      </c>
      <c r="C5677" s="4" t="s">
        <v>21</v>
      </c>
      <c r="D5677" s="4" t="s">
        <v>22</v>
      </c>
      <c r="E5677" s="4" t="s">
        <v>23</v>
      </c>
      <c r="F5677" s="4" t="s">
        <v>24</v>
      </c>
    </row>
    <row r="5678" spans="1:6" ht="15.75" thickBot="1" x14ac:dyDescent="0.3">
      <c r="A5678" s="32" t="s">
        <v>245</v>
      </c>
      <c r="B5678" s="32" t="s">
        <v>246</v>
      </c>
      <c r="C5678" s="32" t="s">
        <v>27</v>
      </c>
      <c r="D5678" s="6" t="s">
        <v>247</v>
      </c>
      <c r="E5678" s="32" t="s">
        <v>29</v>
      </c>
      <c r="F5678" s="6"/>
    </row>
    <row r="5679" spans="1:6" ht="15.75" thickBot="1" x14ac:dyDescent="0.3">
      <c r="A5679" s="35" t="s">
        <v>31</v>
      </c>
      <c r="B5679" s="7" t="s">
        <v>32</v>
      </c>
      <c r="C5679" s="15">
        <v>45566</v>
      </c>
      <c r="D5679" s="35" t="s">
        <v>33</v>
      </c>
      <c r="E5679" s="7" t="s">
        <v>34</v>
      </c>
      <c r="F5679" s="6"/>
    </row>
    <row r="5680" spans="1:6" ht="15.75" thickBot="1" x14ac:dyDescent="0.3">
      <c r="A5680" s="36"/>
      <c r="B5680" s="7" t="s">
        <v>36</v>
      </c>
      <c r="C5680" s="5">
        <f>IF(C5679="","",IF(AND(MONTH(C5679)&gt;=1,MONTH(C5679)&lt;=3),1,IF(AND(MONTH(C5679)&gt;=4,MONTH(C5679)&lt;=6),2,IF(AND(MONTH(C5679)&gt;=7,MONTH(C5679)&lt;=9),3,4))))</f>
        <v>4</v>
      </c>
      <c r="D5680" s="36"/>
      <c r="E5680" s="7" t="s">
        <v>37</v>
      </c>
      <c r="F5680" s="6"/>
    </row>
    <row r="5681" spans="1:6" ht="15.75" thickBot="1" x14ac:dyDescent="0.3">
      <c r="A5681" s="36"/>
      <c r="B5681" s="7" t="s">
        <v>39</v>
      </c>
      <c r="C5681" s="15">
        <v>45656</v>
      </c>
      <c r="D5681" s="36"/>
      <c r="E5681" s="7" t="s">
        <v>40</v>
      </c>
      <c r="F5681" s="6"/>
    </row>
    <row r="5682" spans="1:6" ht="15.75" thickBot="1" x14ac:dyDescent="0.3">
      <c r="A5682" s="36"/>
      <c r="B5682" s="7" t="s">
        <v>36</v>
      </c>
      <c r="C5682" s="5">
        <f>IF(C5681="","",IF(AND(MONTH(C5681)&gt;=1,MONTH(C5681)&lt;=3),1,IF(AND(MONTH(C5681)&gt;=4,MONTH(C5681)&lt;=6),2,IF(AND(MONTH(C5681)&gt;=7,MONTH(C5681)&lt;=9),3,4))))</f>
        <v>4</v>
      </c>
      <c r="D5682" s="36"/>
      <c r="E5682" s="7" t="s">
        <v>41</v>
      </c>
      <c r="F5682" s="6"/>
    </row>
    <row r="5683" spans="1:6" ht="15.75" thickBot="1" x14ac:dyDescent="0.3">
      <c r="A5683" s="40"/>
      <c r="B5683" s="40"/>
      <c r="C5683" s="40"/>
      <c r="D5683" s="40"/>
      <c r="E5683" s="40"/>
      <c r="F5683" s="40"/>
    </row>
    <row r="5684" spans="1:6" ht="15.75" thickBot="1" x14ac:dyDescent="0.3">
      <c r="A5684" s="12" t="s">
        <v>42</v>
      </c>
      <c r="B5684" s="12" t="s">
        <v>43</v>
      </c>
      <c r="C5684" s="12" t="s">
        <v>44</v>
      </c>
      <c r="D5684" s="12" t="s">
        <v>45</v>
      </c>
      <c r="E5684" s="12" t="s">
        <v>46</v>
      </c>
      <c r="F5684" s="12" t="s">
        <v>47</v>
      </c>
    </row>
    <row r="5685" spans="1:6" x14ac:dyDescent="0.25">
      <c r="A5685" s="8">
        <v>46101801</v>
      </c>
      <c r="B5685" s="9" t="str">
        <f t="shared" ref="B5685:B5697" ca="1" si="117">IFERROR(INDEX(UNSPSCDes,MATCH(INDIRECT(ADDRESS(ROW(),COLUMN()-1,4)),UNSPSCCode,0)),"")</f>
        <v>Estuches para revólveres</v>
      </c>
      <c r="C5685" s="8" t="s">
        <v>55</v>
      </c>
      <c r="D5685" s="8">
        <v>1000</v>
      </c>
      <c r="E5685" s="11">
        <v>1003</v>
      </c>
      <c r="F5685" s="10">
        <f t="shared" ref="F5685:F5697" ca="1" si="118">INDIRECT(ADDRESS(ROW(),COLUMN()-2,4))*INDIRECT(ADDRESS(ROW(),COLUMN()-1,4))</f>
        <v>1003000</v>
      </c>
    </row>
    <row r="5686" spans="1:6" x14ac:dyDescent="0.25">
      <c r="A5686" s="8">
        <v>46101801</v>
      </c>
      <c r="B5686" s="9" t="str">
        <f t="shared" ca="1" si="117"/>
        <v>Estuches para revólveres</v>
      </c>
      <c r="C5686" s="33" t="s">
        <v>55</v>
      </c>
      <c r="D5686" s="8">
        <v>1000</v>
      </c>
      <c r="E5686" s="11">
        <v>708</v>
      </c>
      <c r="F5686" s="10">
        <f t="shared" ca="1" si="118"/>
        <v>708000</v>
      </c>
    </row>
    <row r="5687" spans="1:6" x14ac:dyDescent="0.25">
      <c r="A5687" s="8">
        <v>53121705</v>
      </c>
      <c r="B5687" s="9" t="str">
        <f t="shared" ca="1" si="117"/>
        <v>Estuches para equipos</v>
      </c>
      <c r="C5687" s="33" t="s">
        <v>55</v>
      </c>
      <c r="D5687" s="8">
        <v>1000</v>
      </c>
      <c r="E5687" s="11">
        <v>413</v>
      </c>
      <c r="F5687" s="10">
        <f t="shared" ca="1" si="118"/>
        <v>413000</v>
      </c>
    </row>
    <row r="5688" spans="1:6" x14ac:dyDescent="0.25">
      <c r="A5688" s="8">
        <v>53121705</v>
      </c>
      <c r="B5688" s="9" t="str">
        <f t="shared" ca="1" si="117"/>
        <v>Estuches para equipos</v>
      </c>
      <c r="C5688" s="33" t="s">
        <v>55</v>
      </c>
      <c r="D5688" s="8">
        <v>1000</v>
      </c>
      <c r="E5688" s="11">
        <v>1416</v>
      </c>
      <c r="F5688" s="10">
        <f t="shared" ca="1" si="118"/>
        <v>1416000</v>
      </c>
    </row>
    <row r="5689" spans="1:6" x14ac:dyDescent="0.25">
      <c r="A5689" s="8">
        <v>46171515</v>
      </c>
      <c r="B5689" s="9" t="str">
        <f t="shared" ca="1" si="117"/>
        <v>Cadenas de llaves o estuches de llaves</v>
      </c>
      <c r="C5689" s="33" t="s">
        <v>55</v>
      </c>
      <c r="D5689" s="8">
        <v>1000</v>
      </c>
      <c r="E5689" s="11">
        <v>236</v>
      </c>
      <c r="F5689" s="10">
        <f t="shared" ca="1" si="118"/>
        <v>236000</v>
      </c>
    </row>
    <row r="5690" spans="1:6" x14ac:dyDescent="0.25">
      <c r="A5690" s="8">
        <v>46151601</v>
      </c>
      <c r="B5690" s="9" t="str">
        <f t="shared" ca="1" si="117"/>
        <v>Esposas</v>
      </c>
      <c r="C5690" s="33" t="s">
        <v>55</v>
      </c>
      <c r="D5690" s="8">
        <v>1000</v>
      </c>
      <c r="E5690" s="11">
        <v>767</v>
      </c>
      <c r="F5690" s="10">
        <f t="shared" ca="1" si="118"/>
        <v>767000</v>
      </c>
    </row>
    <row r="5691" spans="1:6" x14ac:dyDescent="0.25">
      <c r="A5691" s="8">
        <v>53102501</v>
      </c>
      <c r="B5691" s="9" t="str">
        <f t="shared" ca="1" si="117"/>
        <v>Cinturones o tirantes</v>
      </c>
      <c r="C5691" s="33" t="s">
        <v>55</v>
      </c>
      <c r="D5691" s="8">
        <v>1000</v>
      </c>
      <c r="E5691" s="11">
        <v>1298</v>
      </c>
      <c r="F5691" s="10">
        <f t="shared" ca="1" si="118"/>
        <v>1298000</v>
      </c>
    </row>
    <row r="5692" spans="1:6" x14ac:dyDescent="0.25">
      <c r="A5692" s="8">
        <v>46151601</v>
      </c>
      <c r="B5692" s="9" t="str">
        <f t="shared" ca="1" si="117"/>
        <v>Esposas</v>
      </c>
      <c r="C5692" s="33" t="s">
        <v>55</v>
      </c>
      <c r="D5692" s="8">
        <v>1000</v>
      </c>
      <c r="E5692" s="11">
        <v>1711</v>
      </c>
      <c r="F5692" s="10">
        <f t="shared" ca="1" si="118"/>
        <v>1711000</v>
      </c>
    </row>
    <row r="5693" spans="1:6" x14ac:dyDescent="0.25">
      <c r="A5693" s="8">
        <v>46182501</v>
      </c>
      <c r="B5693" s="9" t="str">
        <f t="shared" ca="1" si="117"/>
        <v>Aerosol de pimienta</v>
      </c>
      <c r="C5693" s="33" t="s">
        <v>55</v>
      </c>
      <c r="D5693" s="8">
        <v>1000</v>
      </c>
      <c r="E5693" s="11">
        <v>1003</v>
      </c>
      <c r="F5693" s="10">
        <f t="shared" ca="1" si="118"/>
        <v>1003000</v>
      </c>
    </row>
    <row r="5694" spans="1:6" x14ac:dyDescent="0.25">
      <c r="A5694" s="8">
        <v>46101504</v>
      </c>
      <c r="B5694" s="9" t="str">
        <f t="shared" ca="1" si="117"/>
        <v>Pistolas</v>
      </c>
      <c r="C5694" s="33" t="s">
        <v>55</v>
      </c>
      <c r="D5694" s="8">
        <v>1000</v>
      </c>
      <c r="E5694" s="11">
        <v>11210</v>
      </c>
      <c r="F5694" s="10">
        <f t="shared" ca="1" si="118"/>
        <v>11210000</v>
      </c>
    </row>
    <row r="5695" spans="1:6" x14ac:dyDescent="0.25">
      <c r="A5695" s="8">
        <v>10141611</v>
      </c>
      <c r="B5695" s="9" t="str">
        <f t="shared" ca="1" si="117"/>
        <v>Soportes para correas</v>
      </c>
      <c r="C5695" s="33" t="s">
        <v>55</v>
      </c>
      <c r="D5695" s="8">
        <v>1000</v>
      </c>
      <c r="E5695" s="11">
        <v>295</v>
      </c>
      <c r="F5695" s="10">
        <f t="shared" ca="1" si="118"/>
        <v>295000</v>
      </c>
    </row>
    <row r="5696" spans="1:6" x14ac:dyDescent="0.25">
      <c r="A5696" s="8">
        <v>53121705</v>
      </c>
      <c r="B5696" s="9" t="str">
        <f t="shared" ca="1" si="117"/>
        <v>Estuches para equipos</v>
      </c>
      <c r="C5696" s="33" t="s">
        <v>55</v>
      </c>
      <c r="D5696" s="8">
        <v>1000</v>
      </c>
      <c r="E5696" s="11">
        <v>413</v>
      </c>
      <c r="F5696" s="10">
        <f t="shared" ca="1" si="118"/>
        <v>413000</v>
      </c>
    </row>
    <row r="5697" spans="1:6" x14ac:dyDescent="0.25">
      <c r="A5697" s="8">
        <v>53121705</v>
      </c>
      <c r="B5697" s="9" t="str">
        <f t="shared" ca="1" si="117"/>
        <v>Estuches para equipos</v>
      </c>
      <c r="C5697" s="33" t="s">
        <v>55</v>
      </c>
      <c r="D5697" s="8">
        <v>1000</v>
      </c>
      <c r="E5697" s="11">
        <v>531</v>
      </c>
      <c r="F5697" s="10">
        <f t="shared" ca="1" si="118"/>
        <v>531000</v>
      </c>
    </row>
    <row r="5698" spans="1:6" x14ac:dyDescent="0.25">
      <c r="A5698" s="40"/>
      <c r="B5698" s="40"/>
      <c r="C5698" s="40"/>
      <c r="D5698" s="40"/>
      <c r="E5698" s="13" t="s">
        <v>87</v>
      </c>
      <c r="F5698" s="14">
        <f ca="1">SUM(Table352222[MONTO TOTAL ESTIMADO])</f>
        <v>21004000</v>
      </c>
    </row>
    <row r="5699" spans="1:6" ht="15.75" thickBot="1" x14ac:dyDescent="0.3">
      <c r="A5699" s="42"/>
      <c r="B5699" s="42"/>
      <c r="C5699" s="42"/>
      <c r="D5699" s="42"/>
      <c r="E5699" s="42"/>
      <c r="F5699" s="42"/>
    </row>
    <row r="5700" spans="1:6" ht="23.25" thickBot="1" x14ac:dyDescent="0.3">
      <c r="A5700" s="4" t="s">
        <v>19</v>
      </c>
      <c r="B5700" s="4" t="s">
        <v>20</v>
      </c>
      <c r="C5700" s="4" t="s">
        <v>21</v>
      </c>
      <c r="D5700" s="4" t="s">
        <v>22</v>
      </c>
      <c r="E5700" s="4" t="s">
        <v>23</v>
      </c>
      <c r="F5700" s="4" t="s">
        <v>24</v>
      </c>
    </row>
    <row r="5701" spans="1:6" ht="15.75" thickBot="1" x14ac:dyDescent="0.3">
      <c r="A5701" s="32" t="s">
        <v>256</v>
      </c>
      <c r="B5701" s="32" t="s">
        <v>257</v>
      </c>
      <c r="C5701" s="32" t="s">
        <v>129</v>
      </c>
      <c r="D5701" s="6" t="s">
        <v>130</v>
      </c>
      <c r="E5701" s="32" t="s">
        <v>29</v>
      </c>
      <c r="F5701" s="6"/>
    </row>
    <row r="5702" spans="1:6" ht="15.75" thickBot="1" x14ac:dyDescent="0.3">
      <c r="A5702" s="35" t="s">
        <v>31</v>
      </c>
      <c r="B5702" s="7" t="s">
        <v>32</v>
      </c>
      <c r="C5702" s="15">
        <v>45566</v>
      </c>
      <c r="D5702" s="35" t="s">
        <v>33</v>
      </c>
      <c r="E5702" s="7" t="s">
        <v>34</v>
      </c>
      <c r="F5702" s="6"/>
    </row>
    <row r="5703" spans="1:6" ht="15.75" thickBot="1" x14ac:dyDescent="0.3">
      <c r="A5703" s="36"/>
      <c r="B5703" s="7" t="s">
        <v>36</v>
      </c>
      <c r="C5703" s="5">
        <f>IF(C5702="","",IF(AND(MONTH(C5702)&gt;=1,MONTH(C5702)&lt;=3),1,IF(AND(MONTH(C5702)&gt;=4,MONTH(C5702)&lt;=6),2,IF(AND(MONTH(C5702)&gt;=7,MONTH(C5702)&lt;=9),3,4))))</f>
        <v>4</v>
      </c>
      <c r="D5703" s="36"/>
      <c r="E5703" s="7" t="s">
        <v>37</v>
      </c>
      <c r="F5703" s="6"/>
    </row>
    <row r="5704" spans="1:6" ht="15.75" thickBot="1" x14ac:dyDescent="0.3">
      <c r="A5704" s="36"/>
      <c r="B5704" s="7" t="s">
        <v>39</v>
      </c>
      <c r="C5704" s="15">
        <v>45656</v>
      </c>
      <c r="D5704" s="36"/>
      <c r="E5704" s="7" t="s">
        <v>40</v>
      </c>
      <c r="F5704" s="6"/>
    </row>
    <row r="5705" spans="1:6" ht="15.75" thickBot="1" x14ac:dyDescent="0.3">
      <c r="A5705" s="36"/>
      <c r="B5705" s="7" t="s">
        <v>36</v>
      </c>
      <c r="C5705" s="5">
        <f>IF(C5704="","",IF(AND(MONTH(C5704)&gt;=1,MONTH(C5704)&lt;=3),1,IF(AND(MONTH(C5704)&gt;=4,MONTH(C5704)&lt;=6),2,IF(AND(MONTH(C5704)&gt;=7,MONTH(C5704)&lt;=9),3,4))))</f>
        <v>4</v>
      </c>
      <c r="D5705" s="36"/>
      <c r="E5705" s="7" t="s">
        <v>41</v>
      </c>
      <c r="F5705" s="6"/>
    </row>
    <row r="5706" spans="1:6" ht="15.75" thickBot="1" x14ac:dyDescent="0.3">
      <c r="A5706" s="40"/>
      <c r="B5706" s="40"/>
      <c r="C5706" s="40"/>
      <c r="D5706" s="40"/>
      <c r="E5706" s="40"/>
      <c r="F5706" s="40"/>
    </row>
    <row r="5707" spans="1:6" ht="15.75" thickBot="1" x14ac:dyDescent="0.3">
      <c r="A5707" s="12" t="s">
        <v>42</v>
      </c>
      <c r="B5707" s="12" t="s">
        <v>43</v>
      </c>
      <c r="C5707" s="12" t="s">
        <v>44</v>
      </c>
      <c r="D5707" s="12" t="s">
        <v>45</v>
      </c>
      <c r="E5707" s="12" t="s">
        <v>46</v>
      </c>
      <c r="F5707" s="12" t="s">
        <v>47</v>
      </c>
    </row>
    <row r="5708" spans="1:6" x14ac:dyDescent="0.25">
      <c r="A5708" s="8">
        <v>82101601</v>
      </c>
      <c r="B5708" s="9" t="str">
        <f ca="1">IFERROR(INDEX(UNSPSCDes,MATCH(INDIRECT(ADDRESS(ROW(),COLUMN()-1,4)),UNSPSCCode,0)),"")</f>
        <v>Publicidad en radio</v>
      </c>
      <c r="C5708" s="8" t="s">
        <v>55</v>
      </c>
      <c r="D5708" s="8">
        <v>1</v>
      </c>
      <c r="E5708" s="11">
        <v>7434000</v>
      </c>
      <c r="F5708" s="10">
        <f ca="1">INDIRECT(ADDRESS(ROW(),COLUMN()-2,4))*INDIRECT(ADDRESS(ROW(),COLUMN()-1,4))</f>
        <v>7434000</v>
      </c>
    </row>
    <row r="5709" spans="1:6" x14ac:dyDescent="0.25">
      <c r="A5709" s="8">
        <v>82101602</v>
      </c>
      <c r="B5709" s="9" t="str">
        <f ca="1">IFERROR(INDEX(UNSPSCDes,MATCH(INDIRECT(ADDRESS(ROW(),COLUMN()-1,4)),UNSPSCCode,0)),"")</f>
        <v>Publicidad en televisión</v>
      </c>
      <c r="C5709" s="33" t="s">
        <v>55</v>
      </c>
      <c r="D5709" s="8">
        <v>1</v>
      </c>
      <c r="E5709" s="11">
        <v>2992480</v>
      </c>
      <c r="F5709" s="10">
        <f ca="1">INDIRECT(ADDRESS(ROW(),COLUMN()-2,4))*INDIRECT(ADDRESS(ROW(),COLUMN()-1,4))</f>
        <v>2992480</v>
      </c>
    </row>
    <row r="5710" spans="1:6" x14ac:dyDescent="0.25">
      <c r="A5710" s="40"/>
      <c r="B5710" s="40"/>
      <c r="C5710" s="40"/>
      <c r="D5710" s="40"/>
      <c r="E5710" s="13" t="s">
        <v>87</v>
      </c>
      <c r="F5710" s="14">
        <f ca="1">SUM(Table353223[MONTO TOTAL ESTIMADO])</f>
        <v>10426480</v>
      </c>
    </row>
    <row r="5711" spans="1:6" ht="15.75" thickBot="1" x14ac:dyDescent="0.3">
      <c r="A5711" s="42"/>
      <c r="B5711" s="42"/>
      <c r="C5711" s="42"/>
      <c r="D5711" s="42"/>
      <c r="E5711" s="42"/>
      <c r="F5711" s="42"/>
    </row>
    <row r="5712" spans="1:6" ht="23.25" thickBot="1" x14ac:dyDescent="0.3">
      <c r="A5712" s="4" t="s">
        <v>19</v>
      </c>
      <c r="B5712" s="4" t="s">
        <v>20</v>
      </c>
      <c r="C5712" s="4" t="s">
        <v>21</v>
      </c>
      <c r="D5712" s="4" t="s">
        <v>22</v>
      </c>
      <c r="E5712" s="4" t="s">
        <v>23</v>
      </c>
      <c r="F5712" s="4" t="s">
        <v>24</v>
      </c>
    </row>
    <row r="5713" spans="1:6" ht="15.75" thickBot="1" x14ac:dyDescent="0.3">
      <c r="A5713" s="32" t="s">
        <v>260</v>
      </c>
      <c r="B5713" s="32" t="s">
        <v>261</v>
      </c>
      <c r="C5713" s="32" t="s">
        <v>27</v>
      </c>
      <c r="D5713" s="6" t="s">
        <v>28</v>
      </c>
      <c r="E5713" s="6" t="s">
        <v>262</v>
      </c>
      <c r="F5713" s="6"/>
    </row>
    <row r="5714" spans="1:6" ht="15.75" thickBot="1" x14ac:dyDescent="0.3">
      <c r="A5714" s="35" t="s">
        <v>31</v>
      </c>
      <c r="B5714" s="7" t="s">
        <v>32</v>
      </c>
      <c r="C5714" s="15">
        <v>45566</v>
      </c>
      <c r="D5714" s="35" t="s">
        <v>33</v>
      </c>
      <c r="E5714" s="7" t="s">
        <v>34</v>
      </c>
      <c r="F5714" s="6"/>
    </row>
    <row r="5715" spans="1:6" ht="15.75" thickBot="1" x14ac:dyDescent="0.3">
      <c r="A5715" s="36"/>
      <c r="B5715" s="7" t="s">
        <v>36</v>
      </c>
      <c r="C5715" s="5">
        <f>IF(C5714="","",IF(AND(MONTH(C5714)&gt;=1,MONTH(C5714)&lt;=3),1,IF(AND(MONTH(C5714)&gt;=4,MONTH(C5714)&lt;=6),2,IF(AND(MONTH(C5714)&gt;=7,MONTH(C5714)&lt;=9),3,4))))</f>
        <v>4</v>
      </c>
      <c r="D5715" s="36"/>
      <c r="E5715" s="7" t="s">
        <v>37</v>
      </c>
      <c r="F5715" s="6"/>
    </row>
    <row r="5716" spans="1:6" ht="15.75" thickBot="1" x14ac:dyDescent="0.3">
      <c r="A5716" s="36"/>
      <c r="B5716" s="7" t="s">
        <v>39</v>
      </c>
      <c r="C5716" s="15">
        <v>45656</v>
      </c>
      <c r="D5716" s="36"/>
      <c r="E5716" s="7" t="s">
        <v>40</v>
      </c>
      <c r="F5716" s="6"/>
    </row>
    <row r="5717" spans="1:6" ht="15.75" thickBot="1" x14ac:dyDescent="0.3">
      <c r="A5717" s="36"/>
      <c r="B5717" s="7" t="s">
        <v>36</v>
      </c>
      <c r="C5717" s="5">
        <f>IF(C5716="","",IF(AND(MONTH(C5716)&gt;=1,MONTH(C5716)&lt;=3),1,IF(AND(MONTH(C5716)&gt;=4,MONTH(C5716)&lt;=6),2,IF(AND(MONTH(C5716)&gt;=7,MONTH(C5716)&lt;=9),3,4))))</f>
        <v>4</v>
      </c>
      <c r="D5717" s="36"/>
      <c r="E5717" s="7" t="s">
        <v>41</v>
      </c>
      <c r="F5717" s="6"/>
    </row>
    <row r="5718" spans="1:6" ht="15.75" thickBot="1" x14ac:dyDescent="0.3">
      <c r="A5718" s="40"/>
      <c r="B5718" s="40"/>
      <c r="C5718" s="40"/>
      <c r="D5718" s="40"/>
      <c r="E5718" s="40"/>
      <c r="F5718" s="40"/>
    </row>
    <row r="5719" spans="1:6" ht="15.75" thickBot="1" x14ac:dyDescent="0.3">
      <c r="A5719" s="12" t="s">
        <v>42</v>
      </c>
      <c r="B5719" s="12" t="s">
        <v>43</v>
      </c>
      <c r="C5719" s="12" t="s">
        <v>44</v>
      </c>
      <c r="D5719" s="12" t="s">
        <v>45</v>
      </c>
      <c r="E5719" s="12" t="s">
        <v>46</v>
      </c>
      <c r="F5719" s="12" t="s">
        <v>47</v>
      </c>
    </row>
    <row r="5720" spans="1:6" x14ac:dyDescent="0.25">
      <c r="A5720" s="8">
        <v>30171501</v>
      </c>
      <c r="B5720" s="9" t="str">
        <f ca="1">IFERROR(INDEX(UNSPSCDes,MATCH(INDIRECT(ADDRESS(ROW(),COLUMN()-1,4)),UNSPSCCode,0)),"")</f>
        <v>Puertas de cristal</v>
      </c>
      <c r="C5720" s="8" t="s">
        <v>55</v>
      </c>
      <c r="D5720" s="8">
        <v>19</v>
      </c>
      <c r="E5720" s="11">
        <v>32800</v>
      </c>
      <c r="F5720" s="10">
        <f ca="1">INDIRECT(ADDRESS(ROW(),COLUMN()-2,4))*INDIRECT(ADDRESS(ROW(),COLUMN()-1,4))</f>
        <v>623200</v>
      </c>
    </row>
    <row r="5721" spans="1:6" x14ac:dyDescent="0.25">
      <c r="A5721" s="8">
        <v>30171605</v>
      </c>
      <c r="B5721" s="9" t="str">
        <f ca="1">IFERROR(INDEX(UNSPSCDes,MATCH(INDIRECT(ADDRESS(ROW(),COLUMN()-1,4)),UNSPSCCode,0)),"")</f>
        <v>Ventanas de apertura horizontal</v>
      </c>
      <c r="C5721" s="33" t="s">
        <v>55</v>
      </c>
      <c r="D5721" s="8">
        <v>160</v>
      </c>
      <c r="E5721" s="11">
        <v>2419</v>
      </c>
      <c r="F5721" s="10">
        <f ca="1">INDIRECT(ADDRESS(ROW(),COLUMN()-2,4))*INDIRECT(ADDRESS(ROW(),COLUMN()-1,4))</f>
        <v>387040</v>
      </c>
    </row>
    <row r="5722" spans="1:6" x14ac:dyDescent="0.25">
      <c r="A5722" s="8">
        <v>30171605</v>
      </c>
      <c r="B5722" s="9" t="str">
        <f ca="1">IFERROR(INDEX(UNSPSCDes,MATCH(INDIRECT(ADDRESS(ROW(),COLUMN()-1,4)),UNSPSCCode,0)),"")</f>
        <v>Ventanas de apertura horizontal</v>
      </c>
      <c r="C5722" s="33" t="s">
        <v>55</v>
      </c>
      <c r="D5722" s="8">
        <v>170</v>
      </c>
      <c r="E5722" s="11">
        <v>2419</v>
      </c>
      <c r="F5722" s="10">
        <f ca="1">INDIRECT(ADDRESS(ROW(),COLUMN()-2,4))*INDIRECT(ADDRESS(ROW(),COLUMN()-1,4))</f>
        <v>411230</v>
      </c>
    </row>
    <row r="5723" spans="1:6" x14ac:dyDescent="0.25">
      <c r="A5723" s="40"/>
      <c r="B5723" s="40"/>
      <c r="C5723" s="40"/>
      <c r="D5723" s="40"/>
      <c r="E5723" s="13" t="s">
        <v>87</v>
      </c>
      <c r="F5723" s="14">
        <f ca="1">SUM(Table354224[MONTO TOTAL ESTIMADO])</f>
        <v>1421470</v>
      </c>
    </row>
    <row r="5724" spans="1:6" ht="15.75" thickBot="1" x14ac:dyDescent="0.3">
      <c r="A5724" s="42"/>
      <c r="B5724" s="42"/>
      <c r="C5724" s="42"/>
      <c r="D5724" s="42"/>
      <c r="E5724" s="42"/>
      <c r="F5724" s="42"/>
    </row>
    <row r="5725" spans="1:6" ht="23.25" thickBot="1" x14ac:dyDescent="0.3">
      <c r="A5725" s="4" t="s">
        <v>19</v>
      </c>
      <c r="B5725" s="4" t="s">
        <v>20</v>
      </c>
      <c r="C5725" s="4" t="s">
        <v>21</v>
      </c>
      <c r="D5725" s="4" t="s">
        <v>22</v>
      </c>
      <c r="E5725" s="4" t="s">
        <v>23</v>
      </c>
      <c r="F5725" s="4" t="s">
        <v>24</v>
      </c>
    </row>
    <row r="5726" spans="1:6" ht="15.75" thickBot="1" x14ac:dyDescent="0.3">
      <c r="A5726" s="32" t="s">
        <v>265</v>
      </c>
      <c r="B5726" s="32" t="s">
        <v>266</v>
      </c>
      <c r="C5726" s="32" t="s">
        <v>27</v>
      </c>
      <c r="D5726" s="6" t="s">
        <v>28</v>
      </c>
      <c r="E5726" s="6" t="s">
        <v>262</v>
      </c>
      <c r="F5726" s="6"/>
    </row>
    <row r="5727" spans="1:6" ht="15.75" thickBot="1" x14ac:dyDescent="0.3">
      <c r="A5727" s="35" t="s">
        <v>31</v>
      </c>
      <c r="B5727" s="7" t="s">
        <v>32</v>
      </c>
      <c r="C5727" s="15">
        <v>45566</v>
      </c>
      <c r="D5727" s="35" t="s">
        <v>33</v>
      </c>
      <c r="E5727" s="7" t="s">
        <v>34</v>
      </c>
      <c r="F5727" s="6"/>
    </row>
    <row r="5728" spans="1:6" ht="15.75" thickBot="1" x14ac:dyDescent="0.3">
      <c r="A5728" s="36"/>
      <c r="B5728" s="7" t="s">
        <v>36</v>
      </c>
      <c r="C5728" s="5">
        <f>IF(C5727="","",IF(AND(MONTH(C5727)&gt;=1,MONTH(C5727)&lt;=3),1,IF(AND(MONTH(C5727)&gt;=4,MONTH(C5727)&lt;=6),2,IF(AND(MONTH(C5727)&gt;=7,MONTH(C5727)&lt;=9),3,4))))</f>
        <v>4</v>
      </c>
      <c r="D5728" s="36"/>
      <c r="E5728" s="7" t="s">
        <v>37</v>
      </c>
      <c r="F5728" s="6"/>
    </row>
    <row r="5729" spans="1:6" ht="15.75" thickBot="1" x14ac:dyDescent="0.3">
      <c r="A5729" s="36"/>
      <c r="B5729" s="7" t="s">
        <v>39</v>
      </c>
      <c r="C5729" s="15">
        <v>45656</v>
      </c>
      <c r="D5729" s="36"/>
      <c r="E5729" s="7" t="s">
        <v>40</v>
      </c>
      <c r="F5729" s="6"/>
    </row>
    <row r="5730" spans="1:6" ht="15.75" thickBot="1" x14ac:dyDescent="0.3">
      <c r="A5730" s="36"/>
      <c r="B5730" s="7" t="s">
        <v>36</v>
      </c>
      <c r="C5730" s="5">
        <f>IF(C5729="","",IF(AND(MONTH(C5729)&gt;=1,MONTH(C5729)&lt;=3),1,IF(AND(MONTH(C5729)&gt;=4,MONTH(C5729)&lt;=6),2,IF(AND(MONTH(C5729)&gt;=7,MONTH(C5729)&lt;=9),3,4))))</f>
        <v>4</v>
      </c>
      <c r="D5730" s="36"/>
      <c r="E5730" s="7" t="s">
        <v>41</v>
      </c>
      <c r="F5730" s="6"/>
    </row>
    <row r="5731" spans="1:6" ht="15.75" thickBot="1" x14ac:dyDescent="0.3">
      <c r="A5731" s="40"/>
      <c r="B5731" s="40"/>
      <c r="C5731" s="40"/>
      <c r="D5731" s="40"/>
      <c r="E5731" s="40"/>
      <c r="F5731" s="40"/>
    </row>
    <row r="5732" spans="1:6" ht="15.75" thickBot="1" x14ac:dyDescent="0.3">
      <c r="A5732" s="12" t="s">
        <v>42</v>
      </c>
      <c r="B5732" s="12" t="s">
        <v>43</v>
      </c>
      <c r="C5732" s="12" t="s">
        <v>44</v>
      </c>
      <c r="D5732" s="12" t="s">
        <v>45</v>
      </c>
      <c r="E5732" s="12" t="s">
        <v>46</v>
      </c>
      <c r="F5732" s="12" t="s">
        <v>47</v>
      </c>
    </row>
    <row r="5733" spans="1:6" x14ac:dyDescent="0.25">
      <c r="A5733" s="8">
        <v>30171706</v>
      </c>
      <c r="B5733" s="9" t="str">
        <f ca="1">IFERROR(INDEX(UNSPSCDes,MATCH(INDIRECT(ADDRESS(ROW(),COLUMN()-1,4)),UNSPSCCode,0)),"")</f>
        <v>Vidrio templado</v>
      </c>
      <c r="C5733" s="33" t="s">
        <v>55</v>
      </c>
      <c r="D5733" s="8">
        <v>500</v>
      </c>
      <c r="E5733" s="11">
        <v>2478</v>
      </c>
      <c r="F5733" s="10">
        <f ca="1">INDIRECT(ADDRESS(ROW(),COLUMN()-2,4))*INDIRECT(ADDRESS(ROW(),COLUMN()-1,4))</f>
        <v>1239000</v>
      </c>
    </row>
    <row r="5734" spans="1:6" x14ac:dyDescent="0.25">
      <c r="A5734" s="40"/>
      <c r="B5734" s="40"/>
      <c r="C5734" s="40"/>
      <c r="D5734" s="40"/>
      <c r="E5734" s="13" t="s">
        <v>87</v>
      </c>
      <c r="F5734" s="14">
        <f ca="1">SUM(Table355225[MONTO TOTAL ESTIMADO])</f>
        <v>1239000</v>
      </c>
    </row>
    <row r="5735" spans="1:6" ht="15.75" thickBot="1" x14ac:dyDescent="0.3">
      <c r="A5735" s="42"/>
      <c r="B5735" s="42"/>
      <c r="C5735" s="42"/>
      <c r="D5735" s="42"/>
      <c r="E5735" s="42"/>
      <c r="F5735" s="42"/>
    </row>
    <row r="5736" spans="1:6" ht="23.25" thickBot="1" x14ac:dyDescent="0.3">
      <c r="A5736" s="4" t="s">
        <v>19</v>
      </c>
      <c r="B5736" s="4" t="s">
        <v>20</v>
      </c>
      <c r="C5736" s="4" t="s">
        <v>21</v>
      </c>
      <c r="D5736" s="4" t="s">
        <v>22</v>
      </c>
      <c r="E5736" s="4" t="s">
        <v>23</v>
      </c>
      <c r="F5736" s="4" t="s">
        <v>24</v>
      </c>
    </row>
    <row r="5737" spans="1:6" ht="15.75" thickBot="1" x14ac:dyDescent="0.3">
      <c r="A5737" s="32" t="s">
        <v>268</v>
      </c>
      <c r="B5737" s="32" t="s">
        <v>269</v>
      </c>
      <c r="C5737" s="32" t="s">
        <v>129</v>
      </c>
      <c r="D5737" s="6" t="s">
        <v>28</v>
      </c>
      <c r="E5737" s="6" t="s">
        <v>262</v>
      </c>
      <c r="F5737" s="6"/>
    </row>
    <row r="5738" spans="1:6" ht="15.75" thickBot="1" x14ac:dyDescent="0.3">
      <c r="A5738" s="35" t="s">
        <v>31</v>
      </c>
      <c r="B5738" s="7" t="s">
        <v>32</v>
      </c>
      <c r="C5738" s="15">
        <v>45566</v>
      </c>
      <c r="D5738" s="35" t="s">
        <v>33</v>
      </c>
      <c r="E5738" s="7" t="s">
        <v>34</v>
      </c>
      <c r="F5738" s="6"/>
    </row>
    <row r="5739" spans="1:6" ht="15.75" thickBot="1" x14ac:dyDescent="0.3">
      <c r="A5739" s="36"/>
      <c r="B5739" s="7" t="s">
        <v>36</v>
      </c>
      <c r="C5739" s="5">
        <f>IF(C5738="","",IF(AND(MONTH(C5738)&gt;=1,MONTH(C5738)&lt;=3),1,IF(AND(MONTH(C5738)&gt;=4,MONTH(C5738)&lt;=6),2,IF(AND(MONTH(C5738)&gt;=7,MONTH(C5738)&lt;=9),3,4))))</f>
        <v>4</v>
      </c>
      <c r="D5739" s="36"/>
      <c r="E5739" s="7" t="s">
        <v>37</v>
      </c>
      <c r="F5739" s="6"/>
    </row>
    <row r="5740" spans="1:6" ht="15.75" thickBot="1" x14ac:dyDescent="0.3">
      <c r="A5740" s="36"/>
      <c r="B5740" s="7" t="s">
        <v>39</v>
      </c>
      <c r="C5740" s="15">
        <v>45656</v>
      </c>
      <c r="D5740" s="36"/>
      <c r="E5740" s="7" t="s">
        <v>40</v>
      </c>
      <c r="F5740" s="6"/>
    </row>
    <row r="5741" spans="1:6" ht="15.75" thickBot="1" x14ac:dyDescent="0.3">
      <c r="A5741" s="36"/>
      <c r="B5741" s="7" t="s">
        <v>36</v>
      </c>
      <c r="C5741" s="5">
        <f>IF(C5740="","",IF(AND(MONTH(C5740)&gt;=1,MONTH(C5740)&lt;=3),1,IF(AND(MONTH(C5740)&gt;=4,MONTH(C5740)&lt;=6),2,IF(AND(MONTH(C5740)&gt;=7,MONTH(C5740)&lt;=9),3,4))))</f>
        <v>4</v>
      </c>
      <c r="D5741" s="36"/>
      <c r="E5741" s="7" t="s">
        <v>41</v>
      </c>
      <c r="F5741" s="6"/>
    </row>
    <row r="5742" spans="1:6" ht="15.75" thickBot="1" x14ac:dyDescent="0.3">
      <c r="A5742" s="40"/>
      <c r="B5742" s="40"/>
      <c r="C5742" s="40"/>
      <c r="D5742" s="40"/>
      <c r="E5742" s="40"/>
      <c r="F5742" s="40"/>
    </row>
    <row r="5743" spans="1:6" ht="15.75" thickBot="1" x14ac:dyDescent="0.3">
      <c r="A5743" s="12" t="s">
        <v>42</v>
      </c>
      <c r="B5743" s="12" t="s">
        <v>43</v>
      </c>
      <c r="C5743" s="12" t="s">
        <v>44</v>
      </c>
      <c r="D5743" s="12" t="s">
        <v>45</v>
      </c>
      <c r="E5743" s="12" t="s">
        <v>46</v>
      </c>
      <c r="F5743" s="12" t="s">
        <v>47</v>
      </c>
    </row>
    <row r="5744" spans="1:6" x14ac:dyDescent="0.25">
      <c r="A5744" s="8">
        <v>78111808</v>
      </c>
      <c r="B5744" s="9" t="str">
        <f ca="1">IFERROR(INDEX(UNSPSCDes,MATCH(INDIRECT(ADDRESS(ROW(),COLUMN()-1,4)),UNSPSCCode,0)),"")</f>
        <v>Alquiler de vehículos</v>
      </c>
      <c r="C5744" s="8" t="s">
        <v>55</v>
      </c>
      <c r="D5744" s="8">
        <v>10</v>
      </c>
      <c r="E5744" s="11">
        <v>16800</v>
      </c>
      <c r="F5744" s="10">
        <f ca="1">INDIRECT(ADDRESS(ROW(),COLUMN()-2,4))*INDIRECT(ADDRESS(ROW(),COLUMN()-1,4))</f>
        <v>168000</v>
      </c>
    </row>
    <row r="5745" spans="1:6" x14ac:dyDescent="0.25">
      <c r="A5745" s="8">
        <v>78111803</v>
      </c>
      <c r="B5745" s="9" t="str">
        <f ca="1">IFERROR(INDEX(UNSPSCDes,MATCH(INDIRECT(ADDRESS(ROW(),COLUMN()-1,4)),UNSPSCCode,0)),"")</f>
        <v>Servicios de buses contratados</v>
      </c>
      <c r="C5745" s="33" t="s">
        <v>55</v>
      </c>
      <c r="D5745" s="8">
        <v>20</v>
      </c>
      <c r="E5745" s="11">
        <v>28000</v>
      </c>
      <c r="F5745" s="10">
        <f ca="1">INDIRECT(ADDRESS(ROW(),COLUMN()-2,4))*INDIRECT(ADDRESS(ROW(),COLUMN()-1,4))</f>
        <v>560000</v>
      </c>
    </row>
    <row r="5746" spans="1:6" ht="22.5" x14ac:dyDescent="0.25">
      <c r="A5746" s="8">
        <v>78101802</v>
      </c>
      <c r="B5746" s="9" t="str">
        <f ca="1">IFERROR(INDEX(UNSPSCDes,MATCH(INDIRECT(ADDRESS(ROW(),COLUMN()-1,4)),UNSPSCCode,0)),"")</f>
        <v>Servicios transporte de carga por carretera (en camión) a nivel regional y nacional</v>
      </c>
      <c r="C5746" s="33" t="s">
        <v>55</v>
      </c>
      <c r="D5746" s="8">
        <v>20</v>
      </c>
      <c r="E5746" s="11">
        <v>35000</v>
      </c>
      <c r="F5746" s="10">
        <f ca="1">INDIRECT(ADDRESS(ROW(),COLUMN()-2,4))*INDIRECT(ADDRESS(ROW(),COLUMN()-1,4))</f>
        <v>700000</v>
      </c>
    </row>
    <row r="5747" spans="1:6" x14ac:dyDescent="0.25">
      <c r="A5747" s="40"/>
      <c r="B5747" s="40"/>
      <c r="C5747" s="40"/>
      <c r="D5747" s="40"/>
      <c r="E5747" s="13" t="s">
        <v>87</v>
      </c>
      <c r="F5747" s="14">
        <f ca="1">SUM(Table356226[MONTO TOTAL ESTIMADO])</f>
        <v>1428000</v>
      </c>
    </row>
    <row r="5748" spans="1:6" ht="15.75" thickBot="1" x14ac:dyDescent="0.3">
      <c r="A5748" s="42"/>
      <c r="B5748" s="42"/>
      <c r="C5748" s="42"/>
      <c r="D5748" s="42"/>
      <c r="E5748" s="42"/>
      <c r="F5748" s="42"/>
    </row>
    <row r="5749" spans="1:6" ht="23.25" thickBot="1" x14ac:dyDescent="0.3">
      <c r="A5749" s="4" t="s">
        <v>19</v>
      </c>
      <c r="B5749" s="4" t="s">
        <v>20</v>
      </c>
      <c r="C5749" s="4" t="s">
        <v>21</v>
      </c>
      <c r="D5749" s="4" t="s">
        <v>22</v>
      </c>
      <c r="E5749" s="4" t="s">
        <v>23</v>
      </c>
      <c r="F5749" s="4" t="s">
        <v>24</v>
      </c>
    </row>
    <row r="5750" spans="1:6" ht="15.75" thickBot="1" x14ac:dyDescent="0.3">
      <c r="A5750" s="32" t="s">
        <v>270</v>
      </c>
      <c r="B5750" s="32" t="s">
        <v>271</v>
      </c>
      <c r="C5750" s="32" t="s">
        <v>129</v>
      </c>
      <c r="D5750" s="6" t="s">
        <v>28</v>
      </c>
      <c r="E5750" s="6" t="s">
        <v>262</v>
      </c>
      <c r="F5750" s="6"/>
    </row>
    <row r="5751" spans="1:6" ht="15.75" thickBot="1" x14ac:dyDescent="0.3">
      <c r="A5751" s="35" t="s">
        <v>31</v>
      </c>
      <c r="B5751" s="7" t="s">
        <v>32</v>
      </c>
      <c r="C5751" s="15">
        <v>45566</v>
      </c>
      <c r="D5751" s="35" t="s">
        <v>33</v>
      </c>
      <c r="E5751" s="7" t="s">
        <v>34</v>
      </c>
      <c r="F5751" s="6"/>
    </row>
    <row r="5752" spans="1:6" ht="15.75" thickBot="1" x14ac:dyDescent="0.3">
      <c r="A5752" s="36"/>
      <c r="B5752" s="7" t="s">
        <v>36</v>
      </c>
      <c r="C5752" s="5">
        <f>IF(C5751="","",IF(AND(MONTH(C5751)&gt;=1,MONTH(C5751)&lt;=3),1,IF(AND(MONTH(C5751)&gt;=4,MONTH(C5751)&lt;=6),2,IF(AND(MONTH(C5751)&gt;=7,MONTH(C5751)&lt;=9),3,4))))</f>
        <v>4</v>
      </c>
      <c r="D5752" s="36"/>
      <c r="E5752" s="7" t="s">
        <v>37</v>
      </c>
      <c r="F5752" s="6"/>
    </row>
    <row r="5753" spans="1:6" ht="15.75" thickBot="1" x14ac:dyDescent="0.3">
      <c r="A5753" s="36"/>
      <c r="B5753" s="7" t="s">
        <v>39</v>
      </c>
      <c r="C5753" s="15">
        <v>45656</v>
      </c>
      <c r="D5753" s="36"/>
      <c r="E5753" s="7" t="s">
        <v>40</v>
      </c>
      <c r="F5753" s="6"/>
    </row>
    <row r="5754" spans="1:6" ht="15.75" thickBot="1" x14ac:dyDescent="0.3">
      <c r="A5754" s="36"/>
      <c r="B5754" s="7" t="s">
        <v>36</v>
      </c>
      <c r="C5754" s="5">
        <f>IF(C5753="","",IF(AND(MONTH(C5753)&gt;=1,MONTH(C5753)&lt;=3),1,IF(AND(MONTH(C5753)&gt;=4,MONTH(C5753)&lt;=6),2,IF(AND(MONTH(C5753)&gt;=7,MONTH(C5753)&lt;=9),3,4))))</f>
        <v>4</v>
      </c>
      <c r="D5754" s="36"/>
      <c r="E5754" s="7" t="s">
        <v>41</v>
      </c>
      <c r="F5754" s="6"/>
    </row>
    <row r="5755" spans="1:6" ht="15.75" thickBot="1" x14ac:dyDescent="0.3">
      <c r="A5755" s="40"/>
      <c r="B5755" s="40"/>
      <c r="C5755" s="40"/>
      <c r="D5755" s="40"/>
      <c r="E5755" s="40"/>
      <c r="F5755" s="40"/>
    </row>
    <row r="5756" spans="1:6" ht="15.75" thickBot="1" x14ac:dyDescent="0.3">
      <c r="A5756" s="12" t="s">
        <v>42</v>
      </c>
      <c r="B5756" s="12" t="s">
        <v>43</v>
      </c>
      <c r="C5756" s="12" t="s">
        <v>44</v>
      </c>
      <c r="D5756" s="12" t="s">
        <v>45</v>
      </c>
      <c r="E5756" s="12" t="s">
        <v>46</v>
      </c>
      <c r="F5756" s="12" t="s">
        <v>47</v>
      </c>
    </row>
    <row r="5757" spans="1:6" x14ac:dyDescent="0.25">
      <c r="A5757" s="8">
        <v>72101508</v>
      </c>
      <c r="B5757" s="9" t="str">
        <f ca="1">IFERROR(INDEX(UNSPSCDes,MATCH(INDIRECT(ADDRESS(ROW(),COLUMN()-1,4)),UNSPSCCode,0)),"")</f>
        <v>Servicio de limpieza de pisos</v>
      </c>
      <c r="C5757" s="8" t="s">
        <v>55</v>
      </c>
      <c r="D5757" s="8">
        <v>1</v>
      </c>
      <c r="E5757" s="11">
        <v>185000</v>
      </c>
      <c r="F5757" s="10">
        <f ca="1">INDIRECT(ADDRESS(ROW(),COLUMN()-2,4))*INDIRECT(ADDRESS(ROW(),COLUMN()-1,4))</f>
        <v>185000</v>
      </c>
    </row>
    <row r="5758" spans="1:6" x14ac:dyDescent="0.25">
      <c r="A5758" s="8">
        <v>72101507</v>
      </c>
      <c r="B5758" s="9" t="str">
        <f ca="1">IFERROR(INDEX(UNSPSCDes,MATCH(INDIRECT(ADDRESS(ROW(),COLUMN()-1,4)),UNSPSCCode,0)),"")</f>
        <v>Servicio de mantenimiento de edificios</v>
      </c>
      <c r="C5758" s="33" t="s">
        <v>55</v>
      </c>
      <c r="D5758" s="8">
        <v>1</v>
      </c>
      <c r="E5758" s="11">
        <v>750000</v>
      </c>
      <c r="F5758" s="10">
        <f ca="1">INDIRECT(ADDRESS(ROW(),COLUMN()-2,4))*INDIRECT(ADDRESS(ROW(),COLUMN()-1,4))</f>
        <v>750000</v>
      </c>
    </row>
    <row r="5759" spans="1:6" x14ac:dyDescent="0.25">
      <c r="A5759" s="40"/>
      <c r="B5759" s="40"/>
      <c r="C5759" s="40"/>
      <c r="D5759" s="40"/>
      <c r="E5759" s="13" t="s">
        <v>87</v>
      </c>
      <c r="F5759" s="14">
        <f ca="1">SUM(Table357227[MONTO TOTAL ESTIMADO])</f>
        <v>935000</v>
      </c>
    </row>
    <row r="5760" spans="1:6" ht="15.75" thickBot="1" x14ac:dyDescent="0.3">
      <c r="A5760" s="42"/>
      <c r="B5760" s="42"/>
      <c r="C5760" s="42"/>
      <c r="D5760" s="42"/>
      <c r="E5760" s="42"/>
      <c r="F5760" s="42"/>
    </row>
    <row r="5761" spans="1:6" ht="23.25" thickBot="1" x14ac:dyDescent="0.3">
      <c r="A5761" s="4" t="s">
        <v>19</v>
      </c>
      <c r="B5761" s="4" t="s">
        <v>20</v>
      </c>
      <c r="C5761" s="4" t="s">
        <v>21</v>
      </c>
      <c r="D5761" s="4" t="s">
        <v>22</v>
      </c>
      <c r="E5761" s="4" t="s">
        <v>23</v>
      </c>
      <c r="F5761" s="4" t="s">
        <v>24</v>
      </c>
    </row>
    <row r="5762" spans="1:6" ht="15.75" thickBot="1" x14ac:dyDescent="0.3">
      <c r="A5762" s="32" t="s">
        <v>274</v>
      </c>
      <c r="B5762" s="32" t="s">
        <v>275</v>
      </c>
      <c r="C5762" s="32" t="s">
        <v>129</v>
      </c>
      <c r="D5762" s="6" t="s">
        <v>28</v>
      </c>
      <c r="E5762" s="32" t="s">
        <v>29</v>
      </c>
      <c r="F5762" s="6"/>
    </row>
    <row r="5763" spans="1:6" ht="15.75" thickBot="1" x14ac:dyDescent="0.3">
      <c r="A5763" s="35" t="s">
        <v>31</v>
      </c>
      <c r="B5763" s="7" t="s">
        <v>32</v>
      </c>
      <c r="C5763" s="15">
        <v>45566</v>
      </c>
      <c r="D5763" s="35" t="s">
        <v>33</v>
      </c>
      <c r="E5763" s="7" t="s">
        <v>34</v>
      </c>
      <c r="F5763" s="6"/>
    </row>
    <row r="5764" spans="1:6" ht="15.75" thickBot="1" x14ac:dyDescent="0.3">
      <c r="A5764" s="36"/>
      <c r="B5764" s="7" t="s">
        <v>36</v>
      </c>
      <c r="C5764" s="5">
        <f>IF(C5763="","",IF(AND(MONTH(C5763)&gt;=1,MONTH(C5763)&lt;=3),1,IF(AND(MONTH(C5763)&gt;=4,MONTH(C5763)&lt;=6),2,IF(AND(MONTH(C5763)&gt;=7,MONTH(C5763)&lt;=9),3,4))))</f>
        <v>4</v>
      </c>
      <c r="D5764" s="36"/>
      <c r="E5764" s="7" t="s">
        <v>37</v>
      </c>
      <c r="F5764" s="6"/>
    </row>
    <row r="5765" spans="1:6" ht="15.75" thickBot="1" x14ac:dyDescent="0.3">
      <c r="A5765" s="36"/>
      <c r="B5765" s="7" t="s">
        <v>39</v>
      </c>
      <c r="C5765" s="15">
        <v>45656</v>
      </c>
      <c r="D5765" s="36"/>
      <c r="E5765" s="7" t="s">
        <v>40</v>
      </c>
      <c r="F5765" s="6"/>
    </row>
    <row r="5766" spans="1:6" ht="15.75" thickBot="1" x14ac:dyDescent="0.3">
      <c r="A5766" s="36"/>
      <c r="B5766" s="7" t="s">
        <v>36</v>
      </c>
      <c r="C5766" s="5">
        <f>IF(C5765="","",IF(AND(MONTH(C5765)&gt;=1,MONTH(C5765)&lt;=3),1,IF(AND(MONTH(C5765)&gt;=4,MONTH(C5765)&lt;=6),2,IF(AND(MONTH(C5765)&gt;=7,MONTH(C5765)&lt;=9),3,4))))</f>
        <v>4</v>
      </c>
      <c r="D5766" s="36"/>
      <c r="E5766" s="7" t="s">
        <v>41</v>
      </c>
      <c r="F5766" s="6"/>
    </row>
    <row r="5767" spans="1:6" ht="15.75" thickBot="1" x14ac:dyDescent="0.3">
      <c r="A5767" s="40"/>
      <c r="B5767" s="40"/>
      <c r="C5767" s="40"/>
      <c r="D5767" s="40"/>
      <c r="E5767" s="40"/>
      <c r="F5767" s="40"/>
    </row>
    <row r="5768" spans="1:6" ht="15.75" thickBot="1" x14ac:dyDescent="0.3">
      <c r="A5768" s="12" t="s">
        <v>42</v>
      </c>
      <c r="B5768" s="12" t="s">
        <v>43</v>
      </c>
      <c r="C5768" s="12" t="s">
        <v>44</v>
      </c>
      <c r="D5768" s="12" t="s">
        <v>45</v>
      </c>
      <c r="E5768" s="12" t="s">
        <v>46</v>
      </c>
      <c r="F5768" s="12" t="s">
        <v>47</v>
      </c>
    </row>
    <row r="5769" spans="1:6" x14ac:dyDescent="0.25">
      <c r="A5769" s="8">
        <v>78111803</v>
      </c>
      <c r="B5769" s="9" t="str">
        <f ca="1">IFERROR(INDEX(UNSPSCDes,MATCH(INDIRECT(ADDRESS(ROW(),COLUMN()-1,4)),UNSPSCCode,0)),"")</f>
        <v>Servicios de buses contratados</v>
      </c>
      <c r="C5769" s="8" t="s">
        <v>55</v>
      </c>
      <c r="D5769" s="8">
        <v>20</v>
      </c>
      <c r="E5769" s="11">
        <v>28000</v>
      </c>
      <c r="F5769" s="10">
        <f ca="1">INDIRECT(ADDRESS(ROW(),COLUMN()-2,4))*INDIRECT(ADDRESS(ROW(),COLUMN()-1,4))</f>
        <v>560000</v>
      </c>
    </row>
    <row r="5770" spans="1:6" x14ac:dyDescent="0.25">
      <c r="A5770" s="8">
        <v>78111803</v>
      </c>
      <c r="B5770" s="9" t="str">
        <f ca="1">IFERROR(INDEX(UNSPSCDes,MATCH(INDIRECT(ADDRESS(ROW(),COLUMN()-1,4)),UNSPSCCode,0)),"")</f>
        <v>Servicios de buses contratados</v>
      </c>
      <c r="C5770" s="33" t="s">
        <v>55</v>
      </c>
      <c r="D5770" s="8">
        <v>20</v>
      </c>
      <c r="E5770" s="11">
        <v>35000</v>
      </c>
      <c r="F5770" s="10">
        <f ca="1">INDIRECT(ADDRESS(ROW(),COLUMN()-2,4))*INDIRECT(ADDRESS(ROW(),COLUMN()-1,4))</f>
        <v>700000</v>
      </c>
    </row>
    <row r="5771" spans="1:6" x14ac:dyDescent="0.25">
      <c r="A5771" s="40"/>
      <c r="B5771" s="40"/>
      <c r="C5771" s="40"/>
      <c r="D5771" s="40"/>
      <c r="E5771" s="13" t="s">
        <v>87</v>
      </c>
      <c r="F5771" s="14">
        <f ca="1">SUM(Table358228[MONTO TOTAL ESTIMADO])</f>
        <v>1260000</v>
      </c>
    </row>
    <row r="5772" spans="1:6" ht="15.75" thickBot="1" x14ac:dyDescent="0.3">
      <c r="A5772" s="42"/>
      <c r="B5772" s="42"/>
      <c r="C5772" s="42"/>
      <c r="D5772" s="42"/>
      <c r="E5772" s="42"/>
      <c r="F5772" s="42"/>
    </row>
    <row r="5773" spans="1:6" ht="23.25" thickBot="1" x14ac:dyDescent="0.3">
      <c r="A5773" s="4" t="s">
        <v>19</v>
      </c>
      <c r="B5773" s="4" t="s">
        <v>20</v>
      </c>
      <c r="C5773" s="4" t="s">
        <v>21</v>
      </c>
      <c r="D5773" s="4" t="s">
        <v>22</v>
      </c>
      <c r="E5773" s="4" t="s">
        <v>23</v>
      </c>
      <c r="F5773" s="4" t="s">
        <v>24</v>
      </c>
    </row>
    <row r="5774" spans="1:6" ht="15.75" thickBot="1" x14ac:dyDescent="0.3">
      <c r="A5774" s="32" t="s">
        <v>276</v>
      </c>
      <c r="B5774" s="32" t="s">
        <v>277</v>
      </c>
      <c r="C5774" s="32" t="s">
        <v>27</v>
      </c>
      <c r="D5774" s="6" t="s">
        <v>28</v>
      </c>
      <c r="E5774" s="6" t="s">
        <v>262</v>
      </c>
      <c r="F5774" s="6"/>
    </row>
    <row r="5775" spans="1:6" ht="15.75" thickBot="1" x14ac:dyDescent="0.3">
      <c r="A5775" s="35" t="s">
        <v>31</v>
      </c>
      <c r="B5775" s="7" t="s">
        <v>32</v>
      </c>
      <c r="C5775" s="15">
        <v>45566</v>
      </c>
      <c r="D5775" s="35" t="s">
        <v>33</v>
      </c>
      <c r="E5775" s="7" t="s">
        <v>34</v>
      </c>
      <c r="F5775" s="6"/>
    </row>
    <row r="5776" spans="1:6" ht="15.75" thickBot="1" x14ac:dyDescent="0.3">
      <c r="A5776" s="36"/>
      <c r="B5776" s="7" t="s">
        <v>36</v>
      </c>
      <c r="C5776" s="5">
        <f>IF(C5775="","",IF(AND(MONTH(C5775)&gt;=1,MONTH(C5775)&lt;=3),1,IF(AND(MONTH(C5775)&gt;=4,MONTH(C5775)&lt;=6),2,IF(AND(MONTH(C5775)&gt;=7,MONTH(C5775)&lt;=9),3,4))))</f>
        <v>4</v>
      </c>
      <c r="D5776" s="36"/>
      <c r="E5776" s="7" t="s">
        <v>37</v>
      </c>
      <c r="F5776" s="6"/>
    </row>
    <row r="5777" spans="1:6" ht="15.75" thickBot="1" x14ac:dyDescent="0.3">
      <c r="A5777" s="36"/>
      <c r="B5777" s="7" t="s">
        <v>39</v>
      </c>
      <c r="C5777" s="15">
        <v>45656</v>
      </c>
      <c r="D5777" s="36"/>
      <c r="E5777" s="7" t="s">
        <v>40</v>
      </c>
      <c r="F5777" s="6"/>
    </row>
    <row r="5778" spans="1:6" ht="15.75" thickBot="1" x14ac:dyDescent="0.3">
      <c r="A5778" s="36"/>
      <c r="B5778" s="7" t="s">
        <v>36</v>
      </c>
      <c r="C5778" s="5">
        <f>IF(C5777="","",IF(AND(MONTH(C5777)&gt;=1,MONTH(C5777)&lt;=3),1,IF(AND(MONTH(C5777)&gt;=4,MONTH(C5777)&lt;=6),2,IF(AND(MONTH(C5777)&gt;=7,MONTH(C5777)&lt;=9),3,4))))</f>
        <v>4</v>
      </c>
      <c r="D5778" s="36"/>
      <c r="E5778" s="7" t="s">
        <v>41</v>
      </c>
      <c r="F5778" s="6"/>
    </row>
    <row r="5779" spans="1:6" ht="15.75" thickBot="1" x14ac:dyDescent="0.3">
      <c r="A5779" s="40"/>
      <c r="B5779" s="40"/>
      <c r="C5779" s="40"/>
      <c r="D5779" s="40"/>
      <c r="E5779" s="40"/>
      <c r="F5779" s="40"/>
    </row>
    <row r="5780" spans="1:6" ht="15.75" thickBot="1" x14ac:dyDescent="0.3">
      <c r="A5780" s="12" t="s">
        <v>42</v>
      </c>
      <c r="B5780" s="12" t="s">
        <v>43</v>
      </c>
      <c r="C5780" s="12" t="s">
        <v>44</v>
      </c>
      <c r="D5780" s="12" t="s">
        <v>45</v>
      </c>
      <c r="E5780" s="12" t="s">
        <v>46</v>
      </c>
      <c r="F5780" s="12" t="s">
        <v>47</v>
      </c>
    </row>
    <row r="5781" spans="1:6" x14ac:dyDescent="0.25">
      <c r="A5781" s="8">
        <v>44112005</v>
      </c>
      <c r="B5781" s="9" t="str">
        <f ca="1">IFERROR(INDEX(UNSPSCDes,MATCH(INDIRECT(ADDRESS(ROW(),COLUMN()-1,4)),UNSPSCCode,0)),"")</f>
        <v>Libretas de citas o repuestos</v>
      </c>
      <c r="C5781" s="8" t="s">
        <v>55</v>
      </c>
      <c r="D5781" s="8">
        <v>500</v>
      </c>
      <c r="E5781" s="11">
        <v>770</v>
      </c>
      <c r="F5781" s="10">
        <f ca="1">INDIRECT(ADDRESS(ROW(),COLUMN()-2,4))*INDIRECT(ADDRESS(ROW(),COLUMN()-1,4))</f>
        <v>385000</v>
      </c>
    </row>
    <row r="5782" spans="1:6" x14ac:dyDescent="0.25">
      <c r="A5782" s="40"/>
      <c r="B5782" s="40"/>
      <c r="C5782" s="40"/>
      <c r="D5782" s="40"/>
      <c r="E5782" s="13" t="s">
        <v>87</v>
      </c>
      <c r="F5782" s="14">
        <f ca="1">SUM(Table359229[MONTO TOTAL ESTIMADO])</f>
        <v>385000</v>
      </c>
    </row>
    <row r="5783" spans="1:6" ht="15.75" thickBot="1" x14ac:dyDescent="0.3">
      <c r="A5783" s="42"/>
      <c r="B5783" s="42"/>
      <c r="C5783" s="42"/>
      <c r="D5783" s="42"/>
      <c r="E5783" s="42"/>
      <c r="F5783" s="42"/>
    </row>
    <row r="5784" spans="1:6" ht="23.25" thickBot="1" x14ac:dyDescent="0.3">
      <c r="A5784" s="4" t="s">
        <v>19</v>
      </c>
      <c r="B5784" s="4" t="s">
        <v>20</v>
      </c>
      <c r="C5784" s="4" t="s">
        <v>21</v>
      </c>
      <c r="D5784" s="4" t="s">
        <v>22</v>
      </c>
      <c r="E5784" s="4" t="s">
        <v>23</v>
      </c>
      <c r="F5784" s="4" t="s">
        <v>24</v>
      </c>
    </row>
    <row r="5785" spans="1:6" ht="15.75" thickBot="1" x14ac:dyDescent="0.3">
      <c r="A5785" s="32" t="s">
        <v>278</v>
      </c>
      <c r="B5785" s="32" t="s">
        <v>279</v>
      </c>
      <c r="C5785" s="32" t="s">
        <v>27</v>
      </c>
      <c r="D5785" s="6" t="s">
        <v>28</v>
      </c>
      <c r="E5785" s="6" t="s">
        <v>262</v>
      </c>
      <c r="F5785" s="6"/>
    </row>
    <row r="5786" spans="1:6" ht="15.75" thickBot="1" x14ac:dyDescent="0.3">
      <c r="A5786" s="35" t="s">
        <v>31</v>
      </c>
      <c r="B5786" s="7" t="s">
        <v>32</v>
      </c>
      <c r="C5786" s="15">
        <v>45566</v>
      </c>
      <c r="D5786" s="35" t="s">
        <v>33</v>
      </c>
      <c r="E5786" s="7" t="s">
        <v>34</v>
      </c>
      <c r="F5786" s="6"/>
    </row>
    <row r="5787" spans="1:6" ht="15.75" thickBot="1" x14ac:dyDescent="0.3">
      <c r="A5787" s="36"/>
      <c r="B5787" s="7" t="s">
        <v>36</v>
      </c>
      <c r="C5787" s="5">
        <f>IF(C5786="","",IF(AND(MONTH(C5786)&gt;=1,MONTH(C5786)&lt;=3),1,IF(AND(MONTH(C5786)&gt;=4,MONTH(C5786)&lt;=6),2,IF(AND(MONTH(C5786)&gt;=7,MONTH(C5786)&lt;=9),3,4))))</f>
        <v>4</v>
      </c>
      <c r="D5787" s="36"/>
      <c r="E5787" s="7" t="s">
        <v>37</v>
      </c>
      <c r="F5787" s="6"/>
    </row>
    <row r="5788" spans="1:6" ht="15.75" thickBot="1" x14ac:dyDescent="0.3">
      <c r="A5788" s="36"/>
      <c r="B5788" s="7" t="s">
        <v>39</v>
      </c>
      <c r="C5788" s="15">
        <v>45656</v>
      </c>
      <c r="D5788" s="36"/>
      <c r="E5788" s="7" t="s">
        <v>40</v>
      </c>
      <c r="F5788" s="6"/>
    </row>
    <row r="5789" spans="1:6" ht="15.75" thickBot="1" x14ac:dyDescent="0.3">
      <c r="A5789" s="36"/>
      <c r="B5789" s="7" t="s">
        <v>36</v>
      </c>
      <c r="C5789" s="5">
        <f>IF(C5788="","",IF(AND(MONTH(C5788)&gt;=1,MONTH(C5788)&lt;=3),1,IF(AND(MONTH(C5788)&gt;=4,MONTH(C5788)&lt;=6),2,IF(AND(MONTH(C5788)&gt;=7,MONTH(C5788)&lt;=9),3,4))))</f>
        <v>4</v>
      </c>
      <c r="D5789" s="36"/>
      <c r="E5789" s="7" t="s">
        <v>41</v>
      </c>
      <c r="F5789" s="6"/>
    </row>
    <row r="5790" spans="1:6" ht="15.75" thickBot="1" x14ac:dyDescent="0.3">
      <c r="A5790" s="40"/>
      <c r="B5790" s="40"/>
      <c r="C5790" s="40"/>
      <c r="D5790" s="40"/>
      <c r="E5790" s="40"/>
      <c r="F5790" s="40"/>
    </row>
    <row r="5791" spans="1:6" ht="15.75" thickBot="1" x14ac:dyDescent="0.3">
      <c r="A5791" s="12" t="s">
        <v>42</v>
      </c>
      <c r="B5791" s="12" t="s">
        <v>43</v>
      </c>
      <c r="C5791" s="12" t="s">
        <v>44</v>
      </c>
      <c r="D5791" s="12" t="s">
        <v>45</v>
      </c>
      <c r="E5791" s="12" t="s">
        <v>46</v>
      </c>
      <c r="F5791" s="12" t="s">
        <v>47</v>
      </c>
    </row>
    <row r="5792" spans="1:6" x14ac:dyDescent="0.25">
      <c r="A5792" s="8">
        <v>56112102</v>
      </c>
      <c r="B5792" s="9" t="str">
        <f ca="1">IFERROR(INDEX(UNSPSCDes,MATCH(INDIRECT(ADDRESS(ROW(),COLUMN()-1,4)),UNSPSCCode,0)),"")</f>
        <v>Sillas para grupos de trabajo</v>
      </c>
      <c r="C5792" s="8" t="s">
        <v>55</v>
      </c>
      <c r="D5792" s="8">
        <v>500</v>
      </c>
      <c r="E5792" s="11">
        <v>360</v>
      </c>
      <c r="F5792" s="10">
        <f ca="1">INDIRECT(ADDRESS(ROW(),COLUMN()-2,4))*INDIRECT(ADDRESS(ROW(),COLUMN()-1,4))</f>
        <v>180000</v>
      </c>
    </row>
    <row r="5793" spans="1:6" x14ac:dyDescent="0.25">
      <c r="A5793" s="8">
        <v>56101519</v>
      </c>
      <c r="B5793" s="9" t="str">
        <f ca="1">IFERROR(INDEX(UNSPSCDes,MATCH(INDIRECT(ADDRESS(ROW(),COLUMN()-1,4)),UNSPSCCode,0)),"")</f>
        <v>Mesas</v>
      </c>
      <c r="C5793" s="33" t="s">
        <v>55</v>
      </c>
      <c r="D5793" s="8">
        <v>30</v>
      </c>
      <c r="E5793" s="11">
        <v>5800</v>
      </c>
      <c r="F5793" s="10">
        <f ca="1">INDIRECT(ADDRESS(ROW(),COLUMN()-2,4))*INDIRECT(ADDRESS(ROW(),COLUMN()-1,4))</f>
        <v>174000</v>
      </c>
    </row>
    <row r="5794" spans="1:6" x14ac:dyDescent="0.25">
      <c r="A5794" s="40"/>
      <c r="B5794" s="40"/>
      <c r="C5794" s="40"/>
      <c r="D5794" s="40"/>
      <c r="E5794" s="13" t="s">
        <v>87</v>
      </c>
      <c r="F5794" s="14">
        <f ca="1">SUM(Table360230[MONTO TOTAL ESTIMADO])</f>
        <v>354000</v>
      </c>
    </row>
    <row r="5795" spans="1:6" ht="15.75" thickBot="1" x14ac:dyDescent="0.3">
      <c r="A5795" s="42"/>
      <c r="B5795" s="42"/>
      <c r="C5795" s="42"/>
      <c r="D5795" s="42"/>
      <c r="E5795" s="42"/>
      <c r="F5795" s="42"/>
    </row>
    <row r="5796" spans="1:6" ht="23.25" thickBot="1" x14ac:dyDescent="0.3">
      <c r="A5796" s="4" t="s">
        <v>19</v>
      </c>
      <c r="B5796" s="4" t="s">
        <v>20</v>
      </c>
      <c r="C5796" s="4" t="s">
        <v>21</v>
      </c>
      <c r="D5796" s="4" t="s">
        <v>22</v>
      </c>
      <c r="E5796" s="4" t="s">
        <v>23</v>
      </c>
      <c r="F5796" s="4" t="s">
        <v>24</v>
      </c>
    </row>
    <row r="5797" spans="1:6" ht="15.75" thickBot="1" x14ac:dyDescent="0.3">
      <c r="A5797" s="32" t="s">
        <v>282</v>
      </c>
      <c r="B5797" s="32" t="s">
        <v>283</v>
      </c>
      <c r="C5797" s="6" t="s">
        <v>27</v>
      </c>
      <c r="D5797" s="6" t="s">
        <v>28</v>
      </c>
      <c r="E5797" s="6" t="s">
        <v>262</v>
      </c>
      <c r="F5797" s="6"/>
    </row>
    <row r="5798" spans="1:6" ht="15.75" thickBot="1" x14ac:dyDescent="0.3">
      <c r="A5798" s="35" t="s">
        <v>31</v>
      </c>
      <c r="B5798" s="7" t="s">
        <v>32</v>
      </c>
      <c r="C5798" s="15">
        <v>45566</v>
      </c>
      <c r="D5798" s="35" t="s">
        <v>33</v>
      </c>
      <c r="E5798" s="7" t="s">
        <v>34</v>
      </c>
      <c r="F5798" s="6"/>
    </row>
    <row r="5799" spans="1:6" ht="15.75" thickBot="1" x14ac:dyDescent="0.3">
      <c r="A5799" s="36"/>
      <c r="B5799" s="7" t="s">
        <v>36</v>
      </c>
      <c r="C5799" s="5">
        <f>IF(C5798="","",IF(AND(MONTH(C5798)&gt;=1,MONTH(C5798)&lt;=3),1,IF(AND(MONTH(C5798)&gt;=4,MONTH(C5798)&lt;=6),2,IF(AND(MONTH(C5798)&gt;=7,MONTH(C5798)&lt;=9),3,4))))</f>
        <v>4</v>
      </c>
      <c r="D5799" s="36"/>
      <c r="E5799" s="7" t="s">
        <v>37</v>
      </c>
      <c r="F5799" s="6"/>
    </row>
    <row r="5800" spans="1:6" ht="15.75" thickBot="1" x14ac:dyDescent="0.3">
      <c r="A5800" s="36"/>
      <c r="B5800" s="7" t="s">
        <v>39</v>
      </c>
      <c r="C5800" s="15">
        <v>45656</v>
      </c>
      <c r="D5800" s="36"/>
      <c r="E5800" s="7" t="s">
        <v>40</v>
      </c>
      <c r="F5800" s="6"/>
    </row>
    <row r="5801" spans="1:6" ht="15.75" thickBot="1" x14ac:dyDescent="0.3">
      <c r="A5801" s="36"/>
      <c r="B5801" s="7" t="s">
        <v>36</v>
      </c>
      <c r="C5801" s="5">
        <f>IF(C5800="","",IF(AND(MONTH(C5800)&gt;=1,MONTH(C5800)&lt;=3),1,IF(AND(MONTH(C5800)&gt;=4,MONTH(C5800)&lt;=6),2,IF(AND(MONTH(C5800)&gt;=7,MONTH(C5800)&lt;=9),3,4))))</f>
        <v>4</v>
      </c>
      <c r="D5801" s="36"/>
      <c r="E5801" s="7" t="s">
        <v>41</v>
      </c>
      <c r="F5801" s="6"/>
    </row>
    <row r="5802" spans="1:6" ht="15.75" thickBot="1" x14ac:dyDescent="0.3">
      <c r="A5802" s="40"/>
      <c r="B5802" s="40"/>
      <c r="C5802" s="40"/>
      <c r="D5802" s="40"/>
      <c r="E5802" s="40"/>
      <c r="F5802" s="40"/>
    </row>
    <row r="5803" spans="1:6" ht="15.75" thickBot="1" x14ac:dyDescent="0.3">
      <c r="A5803" s="12" t="s">
        <v>42</v>
      </c>
      <c r="B5803" s="12" t="s">
        <v>43</v>
      </c>
      <c r="C5803" s="12" t="s">
        <v>44</v>
      </c>
      <c r="D5803" s="12" t="s">
        <v>45</v>
      </c>
      <c r="E5803" s="12" t="s">
        <v>46</v>
      </c>
      <c r="F5803" s="12" t="s">
        <v>47</v>
      </c>
    </row>
    <row r="5804" spans="1:6" x14ac:dyDescent="0.25">
      <c r="A5804" s="8">
        <v>56101703</v>
      </c>
      <c r="B5804" s="9" t="str">
        <f t="shared" ref="B5804:B5810" ca="1" si="119">IFERROR(INDEX(UNSPSCDes,MATCH(INDIRECT(ADDRESS(ROW(),COLUMN()-1,4)),UNSPSCCode,0)),"")</f>
        <v>Escritorios</v>
      </c>
      <c r="C5804" s="8" t="s">
        <v>55</v>
      </c>
      <c r="D5804" s="8">
        <v>1</v>
      </c>
      <c r="E5804" s="11">
        <v>850000</v>
      </c>
      <c r="F5804" s="10">
        <f t="shared" ref="F5804:F5810" ca="1" si="120">INDIRECT(ADDRESS(ROW(),COLUMN()-2,4))*INDIRECT(ADDRESS(ROW(),COLUMN()-1,4))</f>
        <v>850000</v>
      </c>
    </row>
    <row r="5805" spans="1:6" x14ac:dyDescent="0.25">
      <c r="A5805" s="8">
        <v>56101702</v>
      </c>
      <c r="B5805" s="9" t="str">
        <f t="shared" ca="1" si="119"/>
        <v>Gabinetes de archivo o accesorios</v>
      </c>
      <c r="C5805" s="33" t="s">
        <v>55</v>
      </c>
      <c r="D5805" s="8">
        <v>6</v>
      </c>
      <c r="E5805" s="11">
        <v>9800</v>
      </c>
      <c r="F5805" s="10">
        <f t="shared" ca="1" si="120"/>
        <v>58800</v>
      </c>
    </row>
    <row r="5806" spans="1:6" x14ac:dyDescent="0.25">
      <c r="A5806" s="8">
        <v>56101702</v>
      </c>
      <c r="B5806" s="9" t="str">
        <f t="shared" ca="1" si="119"/>
        <v>Gabinetes de archivo o accesorios</v>
      </c>
      <c r="C5806" s="33" t="s">
        <v>55</v>
      </c>
      <c r="D5806" s="8">
        <v>6</v>
      </c>
      <c r="E5806" s="11">
        <v>7800</v>
      </c>
      <c r="F5806" s="10">
        <f t="shared" ca="1" si="120"/>
        <v>46800</v>
      </c>
    </row>
    <row r="5807" spans="1:6" x14ac:dyDescent="0.25">
      <c r="A5807" s="8">
        <v>56101703</v>
      </c>
      <c r="B5807" s="9" t="str">
        <f t="shared" ca="1" si="119"/>
        <v>Escritorios</v>
      </c>
      <c r="C5807" s="33" t="s">
        <v>55</v>
      </c>
      <c r="D5807" s="8">
        <v>1</v>
      </c>
      <c r="E5807" s="11">
        <v>18500</v>
      </c>
      <c r="F5807" s="10">
        <f t="shared" ca="1" si="120"/>
        <v>18500</v>
      </c>
    </row>
    <row r="5808" spans="1:6" x14ac:dyDescent="0.25">
      <c r="A5808" s="8">
        <v>56101703</v>
      </c>
      <c r="B5808" s="9" t="str">
        <f t="shared" ca="1" si="119"/>
        <v>Escritorios</v>
      </c>
      <c r="C5808" s="33" t="s">
        <v>55</v>
      </c>
      <c r="D5808" s="8">
        <v>1</v>
      </c>
      <c r="E5808" s="11">
        <v>14600</v>
      </c>
      <c r="F5808" s="10">
        <f t="shared" ca="1" si="120"/>
        <v>14600</v>
      </c>
    </row>
    <row r="5809" spans="1:6" x14ac:dyDescent="0.25">
      <c r="A5809" s="8">
        <v>56112104</v>
      </c>
      <c r="B5809" s="9" t="str">
        <f t="shared" ca="1" si="119"/>
        <v>Sillas para ejecutivos</v>
      </c>
      <c r="C5809" s="33" t="s">
        <v>55</v>
      </c>
      <c r="D5809" s="8">
        <v>1</v>
      </c>
      <c r="E5809" s="11">
        <v>22600</v>
      </c>
      <c r="F5809" s="10">
        <f t="shared" ca="1" si="120"/>
        <v>22600</v>
      </c>
    </row>
    <row r="5810" spans="1:6" x14ac:dyDescent="0.25">
      <c r="A5810" s="8">
        <v>56112103</v>
      </c>
      <c r="B5810" s="9" t="str">
        <f t="shared" ca="1" si="119"/>
        <v>Sillas para visitantes</v>
      </c>
      <c r="C5810" s="33" t="s">
        <v>55</v>
      </c>
      <c r="D5810" s="8">
        <v>7</v>
      </c>
      <c r="E5810" s="11">
        <v>18900</v>
      </c>
      <c r="F5810" s="10">
        <f t="shared" ca="1" si="120"/>
        <v>132300</v>
      </c>
    </row>
    <row r="5811" spans="1:6" x14ac:dyDescent="0.25">
      <c r="A5811" s="40"/>
      <c r="B5811" s="40"/>
      <c r="C5811" s="40"/>
      <c r="D5811" s="40"/>
      <c r="E5811" s="13" t="s">
        <v>87</v>
      </c>
      <c r="F5811" s="14">
        <f ca="1">SUM(Table361231[MONTO TOTAL ESTIMADO])</f>
        <v>1143600</v>
      </c>
    </row>
    <row r="5812" spans="1:6" ht="15.75" thickBot="1" x14ac:dyDescent="0.3">
      <c r="A5812" s="42"/>
      <c r="B5812" s="42"/>
      <c r="C5812" s="42"/>
      <c r="D5812" s="42"/>
      <c r="E5812" s="42"/>
      <c r="F5812" s="42"/>
    </row>
    <row r="5813" spans="1:6" ht="23.25" thickBot="1" x14ac:dyDescent="0.3">
      <c r="A5813" s="4" t="s">
        <v>19</v>
      </c>
      <c r="B5813" s="4" t="s">
        <v>20</v>
      </c>
      <c r="C5813" s="4" t="s">
        <v>21</v>
      </c>
      <c r="D5813" s="4" t="s">
        <v>22</v>
      </c>
      <c r="E5813" s="4" t="s">
        <v>23</v>
      </c>
      <c r="F5813" s="4" t="s">
        <v>24</v>
      </c>
    </row>
    <row r="5814" spans="1:6" ht="15.75" thickBot="1" x14ac:dyDescent="0.3">
      <c r="A5814" s="32" t="s">
        <v>288</v>
      </c>
      <c r="B5814" s="32" t="s">
        <v>289</v>
      </c>
      <c r="C5814" s="32" t="s">
        <v>27</v>
      </c>
      <c r="D5814" s="6" t="s">
        <v>28</v>
      </c>
      <c r="E5814" s="6" t="s">
        <v>262</v>
      </c>
      <c r="F5814" s="6"/>
    </row>
    <row r="5815" spans="1:6" ht="15.75" thickBot="1" x14ac:dyDescent="0.3">
      <c r="A5815" s="35" t="s">
        <v>31</v>
      </c>
      <c r="B5815" s="7" t="s">
        <v>32</v>
      </c>
      <c r="C5815" s="15">
        <v>45566</v>
      </c>
      <c r="D5815" s="35" t="s">
        <v>33</v>
      </c>
      <c r="E5815" s="7" t="s">
        <v>34</v>
      </c>
      <c r="F5815" s="6"/>
    </row>
    <row r="5816" spans="1:6" ht="15.75" thickBot="1" x14ac:dyDescent="0.3">
      <c r="A5816" s="36"/>
      <c r="B5816" s="7" t="s">
        <v>36</v>
      </c>
      <c r="C5816" s="5">
        <f>IF(C5815="","",IF(AND(MONTH(C5815)&gt;=1,MONTH(C5815)&lt;=3),1,IF(AND(MONTH(C5815)&gt;=4,MONTH(C5815)&lt;=6),2,IF(AND(MONTH(C5815)&gt;=7,MONTH(C5815)&lt;=9),3,4))))</f>
        <v>4</v>
      </c>
      <c r="D5816" s="36"/>
      <c r="E5816" s="7" t="s">
        <v>37</v>
      </c>
      <c r="F5816" s="6"/>
    </row>
    <row r="5817" spans="1:6" ht="15.75" thickBot="1" x14ac:dyDescent="0.3">
      <c r="A5817" s="36"/>
      <c r="B5817" s="7" t="s">
        <v>39</v>
      </c>
      <c r="C5817" s="15">
        <v>45656</v>
      </c>
      <c r="D5817" s="36"/>
      <c r="E5817" s="7" t="s">
        <v>40</v>
      </c>
      <c r="F5817" s="6"/>
    </row>
    <row r="5818" spans="1:6" ht="15.75" thickBot="1" x14ac:dyDescent="0.3">
      <c r="A5818" s="36"/>
      <c r="B5818" s="7" t="s">
        <v>36</v>
      </c>
      <c r="C5818" s="5">
        <f>IF(C5817="","",IF(AND(MONTH(C5817)&gt;=1,MONTH(C5817)&lt;=3),1,IF(AND(MONTH(C5817)&gt;=4,MONTH(C5817)&lt;=6),2,IF(AND(MONTH(C5817)&gt;=7,MONTH(C5817)&lt;=9),3,4))))</f>
        <v>4</v>
      </c>
      <c r="D5818" s="36"/>
      <c r="E5818" s="7" t="s">
        <v>41</v>
      </c>
      <c r="F5818" s="6"/>
    </row>
    <row r="5819" spans="1:6" ht="15.75" thickBot="1" x14ac:dyDescent="0.3">
      <c r="A5819" s="40"/>
      <c r="B5819" s="40"/>
      <c r="C5819" s="40"/>
      <c r="D5819" s="40"/>
      <c r="E5819" s="40"/>
      <c r="F5819" s="40"/>
    </row>
    <row r="5820" spans="1:6" ht="15.75" thickBot="1" x14ac:dyDescent="0.3">
      <c r="A5820" s="12" t="s">
        <v>42</v>
      </c>
      <c r="B5820" s="12" t="s">
        <v>43</v>
      </c>
      <c r="C5820" s="12" t="s">
        <v>44</v>
      </c>
      <c r="D5820" s="12" t="s">
        <v>45</v>
      </c>
      <c r="E5820" s="12" t="s">
        <v>46</v>
      </c>
      <c r="F5820" s="12" t="s">
        <v>47</v>
      </c>
    </row>
    <row r="5821" spans="1:6" ht="22.5" x14ac:dyDescent="0.25">
      <c r="A5821" s="8">
        <v>42171917</v>
      </c>
      <c r="B5821" s="9" t="str">
        <f ca="1">IFERROR(INDEX(UNSPSCDes,MATCH(INDIRECT(ADDRESS(ROW(),COLUMN()-1,4)),UNSPSCCode,0)),"")</f>
        <v>Estuches o bolsas o accesorios de primeros auxilios para servicios médicos de emergencia</v>
      </c>
      <c r="C5821" s="8" t="s">
        <v>55</v>
      </c>
      <c r="D5821" s="8">
        <v>1400</v>
      </c>
      <c r="E5821" s="11">
        <v>1000</v>
      </c>
      <c r="F5821" s="10">
        <f ca="1">INDIRECT(ADDRESS(ROW(),COLUMN()-2,4))*INDIRECT(ADDRESS(ROW(),COLUMN()-1,4))</f>
        <v>1400000</v>
      </c>
    </row>
    <row r="5822" spans="1:6" x14ac:dyDescent="0.25">
      <c r="A5822" s="40"/>
      <c r="B5822" s="40"/>
      <c r="C5822" s="40"/>
      <c r="D5822" s="40"/>
      <c r="E5822" s="13" t="s">
        <v>87</v>
      </c>
      <c r="F5822" s="14">
        <f ca="1">SUM(Table362232[MONTO TOTAL ESTIMADO])</f>
        <v>1400000</v>
      </c>
    </row>
    <row r="5823" spans="1:6" ht="15.75" thickBot="1" x14ac:dyDescent="0.3">
      <c r="A5823" s="42"/>
      <c r="B5823" s="42"/>
      <c r="C5823" s="42"/>
      <c r="D5823" s="42"/>
      <c r="E5823" s="42"/>
      <c r="F5823" s="42"/>
    </row>
    <row r="5824" spans="1:6" ht="23.25" thickBot="1" x14ac:dyDescent="0.3">
      <c r="A5824" s="4" t="s">
        <v>19</v>
      </c>
      <c r="B5824" s="4" t="s">
        <v>20</v>
      </c>
      <c r="C5824" s="4" t="s">
        <v>21</v>
      </c>
      <c r="D5824" s="4" t="s">
        <v>22</v>
      </c>
      <c r="E5824" s="4" t="s">
        <v>23</v>
      </c>
      <c r="F5824" s="4" t="s">
        <v>24</v>
      </c>
    </row>
    <row r="5825" spans="1:6" ht="15.75" thickBot="1" x14ac:dyDescent="0.3">
      <c r="A5825" s="32" t="s">
        <v>288</v>
      </c>
      <c r="B5825" s="32" t="s">
        <v>289</v>
      </c>
      <c r="C5825" s="32" t="s">
        <v>27</v>
      </c>
      <c r="D5825" s="6" t="s">
        <v>28</v>
      </c>
      <c r="E5825" s="32" t="s">
        <v>29</v>
      </c>
      <c r="F5825" s="6"/>
    </row>
    <row r="5826" spans="1:6" ht="15.75" thickBot="1" x14ac:dyDescent="0.3">
      <c r="A5826" s="35" t="s">
        <v>31</v>
      </c>
      <c r="B5826" s="7" t="s">
        <v>32</v>
      </c>
      <c r="C5826" s="15">
        <v>45566</v>
      </c>
      <c r="D5826" s="35" t="s">
        <v>33</v>
      </c>
      <c r="E5826" s="7" t="s">
        <v>34</v>
      </c>
      <c r="F5826" s="6"/>
    </row>
    <row r="5827" spans="1:6" ht="15.75" thickBot="1" x14ac:dyDescent="0.3">
      <c r="A5827" s="36"/>
      <c r="B5827" s="7" t="s">
        <v>36</v>
      </c>
      <c r="C5827" s="5">
        <f>IF(C5826="","",IF(AND(MONTH(C5826)&gt;=1,MONTH(C5826)&lt;=3),1,IF(AND(MONTH(C5826)&gt;=4,MONTH(C5826)&lt;=6),2,IF(AND(MONTH(C5826)&gt;=7,MONTH(C5826)&lt;=9),3,4))))</f>
        <v>4</v>
      </c>
      <c r="D5827" s="36"/>
      <c r="E5827" s="7" t="s">
        <v>37</v>
      </c>
      <c r="F5827" s="6"/>
    </row>
    <row r="5828" spans="1:6" ht="15.75" thickBot="1" x14ac:dyDescent="0.3">
      <c r="A5828" s="36"/>
      <c r="B5828" s="7" t="s">
        <v>39</v>
      </c>
      <c r="C5828" s="15">
        <v>45656</v>
      </c>
      <c r="D5828" s="36"/>
      <c r="E5828" s="7" t="s">
        <v>40</v>
      </c>
      <c r="F5828" s="6"/>
    </row>
    <row r="5829" spans="1:6" ht="15.75" thickBot="1" x14ac:dyDescent="0.3">
      <c r="A5829" s="36"/>
      <c r="B5829" s="7" t="s">
        <v>36</v>
      </c>
      <c r="C5829" s="5">
        <f>IF(C5828="","",IF(AND(MONTH(C5828)&gt;=1,MONTH(C5828)&lt;=3),1,IF(AND(MONTH(C5828)&gt;=4,MONTH(C5828)&lt;=6),2,IF(AND(MONTH(C5828)&gt;=7,MONTH(C5828)&lt;=9),3,4))))</f>
        <v>4</v>
      </c>
      <c r="D5829" s="36"/>
      <c r="E5829" s="7" t="s">
        <v>41</v>
      </c>
      <c r="F5829" s="6"/>
    </row>
    <row r="5830" spans="1:6" ht="15.75" thickBot="1" x14ac:dyDescent="0.3">
      <c r="A5830" s="40"/>
      <c r="B5830" s="40"/>
      <c r="C5830" s="40"/>
      <c r="D5830" s="40"/>
      <c r="E5830" s="40"/>
      <c r="F5830" s="40"/>
    </row>
    <row r="5831" spans="1:6" ht="15.75" thickBot="1" x14ac:dyDescent="0.3">
      <c r="A5831" s="12" t="s">
        <v>42</v>
      </c>
      <c r="B5831" s="12" t="s">
        <v>43</v>
      </c>
      <c r="C5831" s="12" t="s">
        <v>44</v>
      </c>
      <c r="D5831" s="12" t="s">
        <v>45</v>
      </c>
      <c r="E5831" s="12" t="s">
        <v>46</v>
      </c>
      <c r="F5831" s="12" t="s">
        <v>47</v>
      </c>
    </row>
    <row r="5832" spans="1:6" ht="22.5" x14ac:dyDescent="0.25">
      <c r="A5832" s="8">
        <v>42171917</v>
      </c>
      <c r="B5832" s="9" t="str">
        <f ca="1">IFERROR(INDEX(UNSPSCDes,MATCH(INDIRECT(ADDRESS(ROW(),COLUMN()-1,4)),UNSPSCCode,0)),"")</f>
        <v>Estuches o bolsas o accesorios de primeros auxilios para servicios médicos de emergencia</v>
      </c>
      <c r="C5832" s="33" t="s">
        <v>55</v>
      </c>
      <c r="D5832" s="8">
        <v>1400</v>
      </c>
      <c r="E5832" s="11">
        <v>1000</v>
      </c>
      <c r="F5832" s="10">
        <f ca="1">INDIRECT(ADDRESS(ROW(),COLUMN()-2,4))*INDIRECT(ADDRESS(ROW(),COLUMN()-1,4))</f>
        <v>1400000</v>
      </c>
    </row>
    <row r="5833" spans="1:6" x14ac:dyDescent="0.25">
      <c r="A5833" s="40"/>
      <c r="B5833" s="40"/>
      <c r="C5833" s="40"/>
      <c r="D5833" s="40"/>
      <c r="E5833" s="13" t="s">
        <v>87</v>
      </c>
      <c r="F5833" s="14">
        <f ca="1">SUM(Table363233[MONTO TOTAL ESTIMADO])</f>
        <v>1400000</v>
      </c>
    </row>
    <row r="5834" spans="1:6" ht="15.75" thickBot="1" x14ac:dyDescent="0.3">
      <c r="A5834" s="42"/>
      <c r="B5834" s="42"/>
      <c r="C5834" s="42"/>
      <c r="D5834" s="42"/>
      <c r="E5834" s="42"/>
      <c r="F5834" s="42"/>
    </row>
    <row r="5835" spans="1:6" ht="23.25" thickBot="1" x14ac:dyDescent="0.3">
      <c r="A5835" s="4" t="s">
        <v>19</v>
      </c>
      <c r="B5835" s="4" t="s">
        <v>20</v>
      </c>
      <c r="C5835" s="4" t="s">
        <v>21</v>
      </c>
      <c r="D5835" s="4" t="s">
        <v>22</v>
      </c>
      <c r="E5835" s="4" t="s">
        <v>23</v>
      </c>
      <c r="F5835" s="4" t="s">
        <v>24</v>
      </c>
    </row>
    <row r="5836" spans="1:6" ht="15.75" thickBot="1" x14ac:dyDescent="0.3">
      <c r="A5836" s="32" t="s">
        <v>288</v>
      </c>
      <c r="B5836" s="32" t="s">
        <v>289</v>
      </c>
      <c r="C5836" s="6" t="s">
        <v>27</v>
      </c>
      <c r="D5836" s="6" t="s">
        <v>28</v>
      </c>
      <c r="E5836" s="32" t="s">
        <v>29</v>
      </c>
      <c r="F5836" s="6"/>
    </row>
    <row r="5837" spans="1:6" ht="15.75" thickBot="1" x14ac:dyDescent="0.3">
      <c r="A5837" s="35" t="s">
        <v>31</v>
      </c>
      <c r="B5837" s="7" t="s">
        <v>32</v>
      </c>
      <c r="C5837" s="15">
        <v>45566</v>
      </c>
      <c r="D5837" s="35" t="s">
        <v>33</v>
      </c>
      <c r="E5837" s="7" t="s">
        <v>34</v>
      </c>
      <c r="F5837" s="6"/>
    </row>
    <row r="5838" spans="1:6" ht="15.75" thickBot="1" x14ac:dyDescent="0.3">
      <c r="A5838" s="36"/>
      <c r="B5838" s="7" t="s">
        <v>36</v>
      </c>
      <c r="C5838" s="5">
        <f>IF(C5837="","",IF(AND(MONTH(C5837)&gt;=1,MONTH(C5837)&lt;=3),1,IF(AND(MONTH(C5837)&gt;=4,MONTH(C5837)&lt;=6),2,IF(AND(MONTH(C5837)&gt;=7,MONTH(C5837)&lt;=9),3,4))))</f>
        <v>4</v>
      </c>
      <c r="D5838" s="36"/>
      <c r="E5838" s="7" t="s">
        <v>37</v>
      </c>
      <c r="F5838" s="6"/>
    </row>
    <row r="5839" spans="1:6" ht="15.75" thickBot="1" x14ac:dyDescent="0.3">
      <c r="A5839" s="36"/>
      <c r="B5839" s="7" t="s">
        <v>39</v>
      </c>
      <c r="C5839" s="15">
        <v>45656</v>
      </c>
      <c r="D5839" s="36"/>
      <c r="E5839" s="7" t="s">
        <v>40</v>
      </c>
      <c r="F5839" s="6"/>
    </row>
    <row r="5840" spans="1:6" ht="15.75" thickBot="1" x14ac:dyDescent="0.3">
      <c r="A5840" s="36"/>
      <c r="B5840" s="7" t="s">
        <v>36</v>
      </c>
      <c r="C5840" s="5">
        <f>IF(C5839="","",IF(AND(MONTH(C5839)&gt;=1,MONTH(C5839)&lt;=3),1,IF(AND(MONTH(C5839)&gt;=4,MONTH(C5839)&lt;=6),2,IF(AND(MONTH(C5839)&gt;=7,MONTH(C5839)&lt;=9),3,4))))</f>
        <v>4</v>
      </c>
      <c r="D5840" s="36"/>
      <c r="E5840" s="7" t="s">
        <v>41</v>
      </c>
      <c r="F5840" s="6"/>
    </row>
    <row r="5841" spans="1:6" ht="15.75" thickBot="1" x14ac:dyDescent="0.3">
      <c r="A5841" s="40"/>
      <c r="B5841" s="40"/>
      <c r="C5841" s="40"/>
      <c r="D5841" s="40"/>
      <c r="E5841" s="40"/>
      <c r="F5841" s="40"/>
    </row>
    <row r="5842" spans="1:6" ht="15.75" thickBot="1" x14ac:dyDescent="0.3">
      <c r="A5842" s="12" t="s">
        <v>42</v>
      </c>
      <c r="B5842" s="12" t="s">
        <v>43</v>
      </c>
      <c r="C5842" s="12" t="s">
        <v>44</v>
      </c>
      <c r="D5842" s="12" t="s">
        <v>45</v>
      </c>
      <c r="E5842" s="12" t="s">
        <v>46</v>
      </c>
      <c r="F5842" s="12" t="s">
        <v>47</v>
      </c>
    </row>
    <row r="5843" spans="1:6" ht="22.5" x14ac:dyDescent="0.25">
      <c r="A5843" s="8">
        <v>42171917</v>
      </c>
      <c r="B5843" s="9" t="str">
        <f ca="1">IFERROR(INDEX(UNSPSCDes,MATCH(INDIRECT(ADDRESS(ROW(),COLUMN()-1,4)),UNSPSCCode,0)),"")</f>
        <v>Estuches o bolsas o accesorios de primeros auxilios para servicios médicos de emergencia</v>
      </c>
      <c r="C5843" s="33" t="s">
        <v>55</v>
      </c>
      <c r="D5843" s="8">
        <v>1400</v>
      </c>
      <c r="E5843" s="11">
        <v>1000</v>
      </c>
      <c r="F5843" s="10">
        <f ca="1">INDIRECT(ADDRESS(ROW(),COLUMN()-2,4))*INDIRECT(ADDRESS(ROW(),COLUMN()-1,4))</f>
        <v>1400000</v>
      </c>
    </row>
    <row r="5844" spans="1:6" x14ac:dyDescent="0.25">
      <c r="A5844" s="40"/>
      <c r="B5844" s="40"/>
      <c r="C5844" s="40"/>
      <c r="D5844" s="40"/>
      <c r="E5844" s="13" t="s">
        <v>87</v>
      </c>
      <c r="F5844" s="14">
        <f ca="1">SUM(Table364234[MONTO TOTAL ESTIMADO])</f>
        <v>1400000</v>
      </c>
    </row>
    <row r="5845" spans="1:6" ht="15.75" thickBot="1" x14ac:dyDescent="0.3">
      <c r="A5845" s="42"/>
      <c r="B5845" s="42"/>
      <c r="C5845" s="42"/>
      <c r="D5845" s="42"/>
      <c r="E5845" s="42"/>
      <c r="F5845" s="42"/>
    </row>
    <row r="5846" spans="1:6" ht="23.25" thickBot="1" x14ac:dyDescent="0.3">
      <c r="A5846" s="4" t="s">
        <v>19</v>
      </c>
      <c r="B5846" s="4" t="s">
        <v>20</v>
      </c>
      <c r="C5846" s="4" t="s">
        <v>21</v>
      </c>
      <c r="D5846" s="4" t="s">
        <v>22</v>
      </c>
      <c r="E5846" s="4" t="s">
        <v>23</v>
      </c>
      <c r="F5846" s="4" t="s">
        <v>24</v>
      </c>
    </row>
    <row r="5847" spans="1:6" ht="15.75" thickBot="1" x14ac:dyDescent="0.3">
      <c r="A5847" s="32" t="s">
        <v>288</v>
      </c>
      <c r="B5847" s="32" t="s">
        <v>289</v>
      </c>
      <c r="C5847" s="6" t="s">
        <v>27</v>
      </c>
      <c r="D5847" s="6" t="s">
        <v>28</v>
      </c>
      <c r="E5847" s="32" t="s">
        <v>29</v>
      </c>
      <c r="F5847" s="6"/>
    </row>
    <row r="5848" spans="1:6" ht="15.75" thickBot="1" x14ac:dyDescent="0.3">
      <c r="A5848" s="35" t="s">
        <v>31</v>
      </c>
      <c r="B5848" s="7" t="s">
        <v>32</v>
      </c>
      <c r="C5848" s="15">
        <v>45566</v>
      </c>
      <c r="D5848" s="35" t="s">
        <v>33</v>
      </c>
      <c r="E5848" s="7" t="s">
        <v>34</v>
      </c>
      <c r="F5848" s="6"/>
    </row>
    <row r="5849" spans="1:6" ht="15.75" thickBot="1" x14ac:dyDescent="0.3">
      <c r="A5849" s="36"/>
      <c r="B5849" s="7" t="s">
        <v>36</v>
      </c>
      <c r="C5849" s="5">
        <f>IF(C5848="","",IF(AND(MONTH(C5848)&gt;=1,MONTH(C5848)&lt;=3),1,IF(AND(MONTH(C5848)&gt;=4,MONTH(C5848)&lt;=6),2,IF(AND(MONTH(C5848)&gt;=7,MONTH(C5848)&lt;=9),3,4))))</f>
        <v>4</v>
      </c>
      <c r="D5849" s="36"/>
      <c r="E5849" s="7" t="s">
        <v>37</v>
      </c>
      <c r="F5849" s="6"/>
    </row>
    <row r="5850" spans="1:6" ht="15.75" thickBot="1" x14ac:dyDescent="0.3">
      <c r="A5850" s="36"/>
      <c r="B5850" s="7" t="s">
        <v>39</v>
      </c>
      <c r="C5850" s="15">
        <v>45656</v>
      </c>
      <c r="D5850" s="36"/>
      <c r="E5850" s="7" t="s">
        <v>40</v>
      </c>
      <c r="F5850" s="6"/>
    </row>
    <row r="5851" spans="1:6" ht="15.75" thickBot="1" x14ac:dyDescent="0.3">
      <c r="A5851" s="36"/>
      <c r="B5851" s="7" t="s">
        <v>36</v>
      </c>
      <c r="C5851" s="5">
        <f>IF(C5850="","",IF(AND(MONTH(C5850)&gt;=1,MONTH(C5850)&lt;=3),1,IF(AND(MONTH(C5850)&gt;=4,MONTH(C5850)&lt;=6),2,IF(AND(MONTH(C5850)&gt;=7,MONTH(C5850)&lt;=9),3,4))))</f>
        <v>4</v>
      </c>
      <c r="D5851" s="36"/>
      <c r="E5851" s="7" t="s">
        <v>41</v>
      </c>
      <c r="F5851" s="6"/>
    </row>
    <row r="5852" spans="1:6" ht="15.75" thickBot="1" x14ac:dyDescent="0.3">
      <c r="A5852" s="40"/>
      <c r="B5852" s="40"/>
      <c r="C5852" s="40"/>
      <c r="D5852" s="40"/>
      <c r="E5852" s="40"/>
      <c r="F5852" s="40"/>
    </row>
    <row r="5853" spans="1:6" ht="15.75" thickBot="1" x14ac:dyDescent="0.3">
      <c r="A5853" s="12" t="s">
        <v>42</v>
      </c>
      <c r="B5853" s="12" t="s">
        <v>43</v>
      </c>
      <c r="C5853" s="12" t="s">
        <v>44</v>
      </c>
      <c r="D5853" s="12" t="s">
        <v>45</v>
      </c>
      <c r="E5853" s="12" t="s">
        <v>46</v>
      </c>
      <c r="F5853" s="12" t="s">
        <v>47</v>
      </c>
    </row>
    <row r="5854" spans="1:6" ht="22.5" x14ac:dyDescent="0.25">
      <c r="A5854" s="8">
        <v>42171917</v>
      </c>
      <c r="B5854" s="9" t="str">
        <f ca="1">IFERROR(INDEX(UNSPSCDes,MATCH(INDIRECT(ADDRESS(ROW(),COLUMN()-1,4)),UNSPSCCode,0)),"")</f>
        <v>Estuches o bolsas o accesorios de primeros auxilios para servicios médicos de emergencia</v>
      </c>
      <c r="C5854" s="33" t="s">
        <v>55</v>
      </c>
      <c r="D5854" s="8">
        <v>1400</v>
      </c>
      <c r="E5854" s="11">
        <v>1000</v>
      </c>
      <c r="F5854" s="10">
        <f ca="1">INDIRECT(ADDRESS(ROW(),COLUMN()-2,4))*INDIRECT(ADDRESS(ROW(),COLUMN()-1,4))</f>
        <v>1400000</v>
      </c>
    </row>
    <row r="5855" spans="1:6" x14ac:dyDescent="0.25">
      <c r="A5855" s="40"/>
      <c r="B5855" s="40"/>
      <c r="C5855" s="40"/>
      <c r="D5855" s="40"/>
      <c r="E5855" s="13" t="s">
        <v>87</v>
      </c>
      <c r="F5855" s="14">
        <f ca="1">SUM(Table365235[MONTO TOTAL ESTIMADO])</f>
        <v>1400000</v>
      </c>
    </row>
    <row r="5856" spans="1:6" ht="15.75" thickBot="1" x14ac:dyDescent="0.3">
      <c r="A5856" s="42"/>
      <c r="B5856" s="42"/>
      <c r="C5856" s="42"/>
      <c r="D5856" s="42"/>
      <c r="E5856" s="42"/>
      <c r="F5856" s="42"/>
    </row>
    <row r="5857" spans="1:6" ht="23.25" thickBot="1" x14ac:dyDescent="0.3">
      <c r="A5857" s="4" t="s">
        <v>19</v>
      </c>
      <c r="B5857" s="4" t="s">
        <v>20</v>
      </c>
      <c r="C5857" s="4" t="s">
        <v>21</v>
      </c>
      <c r="D5857" s="4" t="s">
        <v>22</v>
      </c>
      <c r="E5857" s="4" t="s">
        <v>23</v>
      </c>
      <c r="F5857" s="4" t="s">
        <v>24</v>
      </c>
    </row>
    <row r="5858" spans="1:6" ht="15.75" thickBot="1" x14ac:dyDescent="0.3">
      <c r="A5858" s="32" t="s">
        <v>288</v>
      </c>
      <c r="B5858" s="32" t="s">
        <v>289</v>
      </c>
      <c r="C5858" s="6" t="s">
        <v>27</v>
      </c>
      <c r="D5858" s="6" t="s">
        <v>28</v>
      </c>
      <c r="E5858" s="32" t="s">
        <v>29</v>
      </c>
      <c r="F5858" s="6"/>
    </row>
    <row r="5859" spans="1:6" ht="15.75" thickBot="1" x14ac:dyDescent="0.3">
      <c r="A5859" s="35" t="s">
        <v>31</v>
      </c>
      <c r="B5859" s="7" t="s">
        <v>32</v>
      </c>
      <c r="C5859" s="15">
        <v>45566</v>
      </c>
      <c r="D5859" s="35" t="s">
        <v>33</v>
      </c>
      <c r="E5859" s="7" t="s">
        <v>34</v>
      </c>
      <c r="F5859" s="6"/>
    </row>
    <row r="5860" spans="1:6" ht="15.75" thickBot="1" x14ac:dyDescent="0.3">
      <c r="A5860" s="36"/>
      <c r="B5860" s="7" t="s">
        <v>36</v>
      </c>
      <c r="C5860" s="5">
        <f>IF(C5859="","",IF(AND(MONTH(C5859)&gt;=1,MONTH(C5859)&lt;=3),1,IF(AND(MONTH(C5859)&gt;=4,MONTH(C5859)&lt;=6),2,IF(AND(MONTH(C5859)&gt;=7,MONTH(C5859)&lt;=9),3,4))))</f>
        <v>4</v>
      </c>
      <c r="D5860" s="36"/>
      <c r="E5860" s="7" t="s">
        <v>37</v>
      </c>
      <c r="F5860" s="6"/>
    </row>
    <row r="5861" spans="1:6" ht="15.75" thickBot="1" x14ac:dyDescent="0.3">
      <c r="A5861" s="36"/>
      <c r="B5861" s="7" t="s">
        <v>39</v>
      </c>
      <c r="C5861" s="15">
        <v>45656</v>
      </c>
      <c r="D5861" s="36"/>
      <c r="E5861" s="7" t="s">
        <v>40</v>
      </c>
      <c r="F5861" s="6"/>
    </row>
    <row r="5862" spans="1:6" ht="15.75" thickBot="1" x14ac:dyDescent="0.3">
      <c r="A5862" s="36"/>
      <c r="B5862" s="7" t="s">
        <v>36</v>
      </c>
      <c r="C5862" s="5">
        <f>IF(C5861="","",IF(AND(MONTH(C5861)&gt;=1,MONTH(C5861)&lt;=3),1,IF(AND(MONTH(C5861)&gt;=4,MONTH(C5861)&lt;=6),2,IF(AND(MONTH(C5861)&gt;=7,MONTH(C5861)&lt;=9),3,4))))</f>
        <v>4</v>
      </c>
      <c r="D5862" s="36"/>
      <c r="E5862" s="7" t="s">
        <v>41</v>
      </c>
      <c r="F5862" s="6"/>
    </row>
    <row r="5863" spans="1:6" ht="15.75" thickBot="1" x14ac:dyDescent="0.3">
      <c r="A5863" s="40"/>
      <c r="B5863" s="40"/>
      <c r="C5863" s="40"/>
      <c r="D5863" s="40"/>
      <c r="E5863" s="40"/>
      <c r="F5863" s="40"/>
    </row>
    <row r="5864" spans="1:6" ht="15.75" thickBot="1" x14ac:dyDescent="0.3">
      <c r="A5864" s="12" t="s">
        <v>42</v>
      </c>
      <c r="B5864" s="12" t="s">
        <v>43</v>
      </c>
      <c r="C5864" s="12" t="s">
        <v>44</v>
      </c>
      <c r="D5864" s="12" t="s">
        <v>45</v>
      </c>
      <c r="E5864" s="12" t="s">
        <v>46</v>
      </c>
      <c r="F5864" s="12" t="s">
        <v>47</v>
      </c>
    </row>
    <row r="5865" spans="1:6" ht="22.5" x14ac:dyDescent="0.25">
      <c r="A5865" s="8">
        <v>42171917</v>
      </c>
      <c r="B5865" s="9" t="str">
        <f ca="1">IFERROR(INDEX(UNSPSCDes,MATCH(INDIRECT(ADDRESS(ROW(),COLUMN()-1,4)),UNSPSCCode,0)),"")</f>
        <v>Estuches o bolsas o accesorios de primeros auxilios para servicios médicos de emergencia</v>
      </c>
      <c r="C5865" s="33" t="s">
        <v>55</v>
      </c>
      <c r="D5865" s="8">
        <v>1400</v>
      </c>
      <c r="E5865" s="11">
        <v>1000</v>
      </c>
      <c r="F5865" s="10">
        <f ca="1">INDIRECT(ADDRESS(ROW(),COLUMN()-2,4))*INDIRECT(ADDRESS(ROW(),COLUMN()-1,4))</f>
        <v>1400000</v>
      </c>
    </row>
    <row r="5866" spans="1:6" x14ac:dyDescent="0.25">
      <c r="A5866" s="40"/>
      <c r="B5866" s="40"/>
      <c r="C5866" s="40"/>
      <c r="D5866" s="40"/>
      <c r="E5866" s="13" t="s">
        <v>87</v>
      </c>
      <c r="F5866" s="14">
        <f ca="1">SUM(Table366236[MONTO TOTAL ESTIMADO])</f>
        <v>1400000</v>
      </c>
    </row>
    <row r="5867" spans="1:6" ht="15.75" thickBot="1" x14ac:dyDescent="0.3">
      <c r="A5867" s="42"/>
      <c r="B5867" s="42"/>
      <c r="C5867" s="42"/>
      <c r="D5867" s="42"/>
      <c r="E5867" s="42"/>
      <c r="F5867" s="42"/>
    </row>
    <row r="5868" spans="1:6" ht="23.25" thickBot="1" x14ac:dyDescent="0.3">
      <c r="A5868" s="4" t="s">
        <v>19</v>
      </c>
      <c r="B5868" s="4" t="s">
        <v>20</v>
      </c>
      <c r="C5868" s="4" t="s">
        <v>21</v>
      </c>
      <c r="D5868" s="4" t="s">
        <v>22</v>
      </c>
      <c r="E5868" s="4" t="s">
        <v>23</v>
      </c>
      <c r="F5868" s="4" t="s">
        <v>24</v>
      </c>
    </row>
    <row r="5869" spans="1:6" ht="15.75" thickBot="1" x14ac:dyDescent="0.3">
      <c r="A5869" s="32" t="s">
        <v>288</v>
      </c>
      <c r="B5869" s="32" t="s">
        <v>289</v>
      </c>
      <c r="C5869" s="32" t="s">
        <v>27</v>
      </c>
      <c r="D5869" s="6" t="s">
        <v>28</v>
      </c>
      <c r="E5869" s="32" t="s">
        <v>29</v>
      </c>
      <c r="F5869" s="6"/>
    </row>
    <row r="5870" spans="1:6" ht="15.75" thickBot="1" x14ac:dyDescent="0.3">
      <c r="A5870" s="35" t="s">
        <v>31</v>
      </c>
      <c r="B5870" s="7" t="s">
        <v>32</v>
      </c>
      <c r="C5870" s="15">
        <v>45566</v>
      </c>
      <c r="D5870" s="35" t="s">
        <v>33</v>
      </c>
      <c r="E5870" s="7" t="s">
        <v>34</v>
      </c>
      <c r="F5870" s="6"/>
    </row>
    <row r="5871" spans="1:6" ht="15.75" thickBot="1" x14ac:dyDescent="0.3">
      <c r="A5871" s="36"/>
      <c r="B5871" s="7" t="s">
        <v>36</v>
      </c>
      <c r="C5871" s="5">
        <f>IF(C5870="","",IF(AND(MONTH(C5870)&gt;=1,MONTH(C5870)&lt;=3),1,IF(AND(MONTH(C5870)&gt;=4,MONTH(C5870)&lt;=6),2,IF(AND(MONTH(C5870)&gt;=7,MONTH(C5870)&lt;=9),3,4))))</f>
        <v>4</v>
      </c>
      <c r="D5871" s="36"/>
      <c r="E5871" s="7" t="s">
        <v>37</v>
      </c>
      <c r="F5871" s="6"/>
    </row>
    <row r="5872" spans="1:6" ht="15.75" thickBot="1" x14ac:dyDescent="0.3">
      <c r="A5872" s="36"/>
      <c r="B5872" s="7" t="s">
        <v>39</v>
      </c>
      <c r="C5872" s="15">
        <v>45656</v>
      </c>
      <c r="D5872" s="36"/>
      <c r="E5872" s="7" t="s">
        <v>40</v>
      </c>
      <c r="F5872" s="6"/>
    </row>
    <row r="5873" spans="1:6" ht="15.75" thickBot="1" x14ac:dyDescent="0.3">
      <c r="A5873" s="36"/>
      <c r="B5873" s="7" t="s">
        <v>36</v>
      </c>
      <c r="C5873" s="5">
        <f>IF(C5872="","",IF(AND(MONTH(C5872)&gt;=1,MONTH(C5872)&lt;=3),1,IF(AND(MONTH(C5872)&gt;=4,MONTH(C5872)&lt;=6),2,IF(AND(MONTH(C5872)&gt;=7,MONTH(C5872)&lt;=9),3,4))))</f>
        <v>4</v>
      </c>
      <c r="D5873" s="36"/>
      <c r="E5873" s="7" t="s">
        <v>41</v>
      </c>
      <c r="F5873" s="6"/>
    </row>
    <row r="5874" spans="1:6" ht="15.75" thickBot="1" x14ac:dyDescent="0.3">
      <c r="A5874" s="40"/>
      <c r="B5874" s="40"/>
      <c r="C5874" s="40"/>
      <c r="D5874" s="40"/>
      <c r="E5874" s="40"/>
      <c r="F5874" s="40"/>
    </row>
    <row r="5875" spans="1:6" ht="15.75" thickBot="1" x14ac:dyDescent="0.3">
      <c r="A5875" s="12" t="s">
        <v>42</v>
      </c>
      <c r="B5875" s="12" t="s">
        <v>43</v>
      </c>
      <c r="C5875" s="12" t="s">
        <v>44</v>
      </c>
      <c r="D5875" s="12" t="s">
        <v>45</v>
      </c>
      <c r="E5875" s="12" t="s">
        <v>46</v>
      </c>
      <c r="F5875" s="12" t="s">
        <v>47</v>
      </c>
    </row>
    <row r="5876" spans="1:6" ht="22.5" x14ac:dyDescent="0.25">
      <c r="A5876" s="8">
        <v>42171917</v>
      </c>
      <c r="B5876" s="9" t="str">
        <f ca="1">IFERROR(INDEX(UNSPSCDes,MATCH(INDIRECT(ADDRESS(ROW(),COLUMN()-1,4)),UNSPSCCode,0)),"")</f>
        <v>Estuches o bolsas o accesorios de primeros auxilios para servicios médicos de emergencia</v>
      </c>
      <c r="C5876" s="33" t="s">
        <v>55</v>
      </c>
      <c r="D5876" s="8">
        <v>1400</v>
      </c>
      <c r="E5876" s="11">
        <v>1000</v>
      </c>
      <c r="F5876" s="10">
        <f ca="1">INDIRECT(ADDRESS(ROW(),COLUMN()-2,4))*INDIRECT(ADDRESS(ROW(),COLUMN()-1,4))</f>
        <v>1400000</v>
      </c>
    </row>
    <row r="5877" spans="1:6" x14ac:dyDescent="0.25">
      <c r="A5877" s="40"/>
      <c r="B5877" s="40"/>
      <c r="C5877" s="40"/>
      <c r="D5877" s="40"/>
      <c r="E5877" s="13" t="s">
        <v>87</v>
      </c>
      <c r="F5877" s="14">
        <f ca="1">SUM(Table367237[MONTO TOTAL ESTIMADO])</f>
        <v>1400000</v>
      </c>
    </row>
    <row r="5878" spans="1:6" ht="15.75" thickBot="1" x14ac:dyDescent="0.3">
      <c r="A5878" s="42"/>
      <c r="B5878" s="42"/>
      <c r="C5878" s="42"/>
      <c r="D5878" s="42"/>
      <c r="E5878" s="42"/>
      <c r="F5878" s="42"/>
    </row>
    <row r="5879" spans="1:6" ht="23.25" thickBot="1" x14ac:dyDescent="0.3">
      <c r="A5879" s="4" t="s">
        <v>19</v>
      </c>
      <c r="B5879" s="4" t="s">
        <v>20</v>
      </c>
      <c r="C5879" s="4" t="s">
        <v>21</v>
      </c>
      <c r="D5879" s="4" t="s">
        <v>22</v>
      </c>
      <c r="E5879" s="4" t="s">
        <v>23</v>
      </c>
      <c r="F5879" s="4" t="s">
        <v>24</v>
      </c>
    </row>
    <row r="5880" spans="1:6" ht="15.75" thickBot="1" x14ac:dyDescent="0.3">
      <c r="A5880" s="32" t="s">
        <v>288</v>
      </c>
      <c r="B5880" s="32" t="s">
        <v>289</v>
      </c>
      <c r="C5880" s="6" t="s">
        <v>27</v>
      </c>
      <c r="D5880" s="6" t="s">
        <v>28</v>
      </c>
      <c r="E5880" s="32" t="s">
        <v>29</v>
      </c>
      <c r="F5880" s="6"/>
    </row>
    <row r="5881" spans="1:6" ht="15.75" thickBot="1" x14ac:dyDescent="0.3">
      <c r="A5881" s="35" t="s">
        <v>31</v>
      </c>
      <c r="B5881" s="7" t="s">
        <v>32</v>
      </c>
      <c r="C5881" s="15">
        <v>45566</v>
      </c>
      <c r="D5881" s="35" t="s">
        <v>33</v>
      </c>
      <c r="E5881" s="7" t="s">
        <v>34</v>
      </c>
      <c r="F5881" s="6"/>
    </row>
    <row r="5882" spans="1:6" ht="15.75" thickBot="1" x14ac:dyDescent="0.3">
      <c r="A5882" s="36"/>
      <c r="B5882" s="7" t="s">
        <v>36</v>
      </c>
      <c r="C5882" s="5">
        <f>IF(C5881="","",IF(AND(MONTH(C5881)&gt;=1,MONTH(C5881)&lt;=3),1,IF(AND(MONTH(C5881)&gt;=4,MONTH(C5881)&lt;=6),2,IF(AND(MONTH(C5881)&gt;=7,MONTH(C5881)&lt;=9),3,4))))</f>
        <v>4</v>
      </c>
      <c r="D5882" s="36"/>
      <c r="E5882" s="7" t="s">
        <v>37</v>
      </c>
      <c r="F5882" s="6"/>
    </row>
    <row r="5883" spans="1:6" ht="15.75" thickBot="1" x14ac:dyDescent="0.3">
      <c r="A5883" s="36"/>
      <c r="B5883" s="7" t="s">
        <v>39</v>
      </c>
      <c r="C5883" s="15">
        <v>45656</v>
      </c>
      <c r="D5883" s="36"/>
      <c r="E5883" s="7" t="s">
        <v>40</v>
      </c>
      <c r="F5883" s="6"/>
    </row>
    <row r="5884" spans="1:6" ht="15.75" thickBot="1" x14ac:dyDescent="0.3">
      <c r="A5884" s="36"/>
      <c r="B5884" s="7" t="s">
        <v>36</v>
      </c>
      <c r="C5884" s="5">
        <f>IF(C5883="","",IF(AND(MONTH(C5883)&gt;=1,MONTH(C5883)&lt;=3),1,IF(AND(MONTH(C5883)&gt;=4,MONTH(C5883)&lt;=6),2,IF(AND(MONTH(C5883)&gt;=7,MONTH(C5883)&lt;=9),3,4))))</f>
        <v>4</v>
      </c>
      <c r="D5884" s="36"/>
      <c r="E5884" s="7" t="s">
        <v>41</v>
      </c>
      <c r="F5884" s="6"/>
    </row>
    <row r="5885" spans="1:6" ht="15.75" thickBot="1" x14ac:dyDescent="0.3">
      <c r="A5885" s="40"/>
      <c r="B5885" s="40"/>
      <c r="C5885" s="40"/>
      <c r="D5885" s="40"/>
      <c r="E5885" s="40"/>
      <c r="F5885" s="40"/>
    </row>
    <row r="5886" spans="1:6" ht="15.75" thickBot="1" x14ac:dyDescent="0.3">
      <c r="A5886" s="12" t="s">
        <v>42</v>
      </c>
      <c r="B5886" s="12" t="s">
        <v>43</v>
      </c>
      <c r="C5886" s="12" t="s">
        <v>44</v>
      </c>
      <c r="D5886" s="12" t="s">
        <v>45</v>
      </c>
      <c r="E5886" s="12" t="s">
        <v>46</v>
      </c>
      <c r="F5886" s="12" t="s">
        <v>47</v>
      </c>
    </row>
    <row r="5887" spans="1:6" ht="22.5" x14ac:dyDescent="0.25">
      <c r="A5887" s="8">
        <v>42171917</v>
      </c>
      <c r="B5887" s="9" t="str">
        <f ca="1">IFERROR(INDEX(UNSPSCDes,MATCH(INDIRECT(ADDRESS(ROW(),COLUMN()-1,4)),UNSPSCCode,0)),"")</f>
        <v>Estuches o bolsas o accesorios de primeros auxilios para servicios médicos de emergencia</v>
      </c>
      <c r="C5887" s="33" t="s">
        <v>55</v>
      </c>
      <c r="D5887" s="8">
        <v>1400</v>
      </c>
      <c r="E5887" s="11">
        <v>1000</v>
      </c>
      <c r="F5887" s="10">
        <f ca="1">INDIRECT(ADDRESS(ROW(),COLUMN()-2,4))*INDIRECT(ADDRESS(ROW(),COLUMN()-1,4))</f>
        <v>1400000</v>
      </c>
    </row>
    <row r="5888" spans="1:6" x14ac:dyDescent="0.25">
      <c r="A5888" s="40"/>
      <c r="B5888" s="40"/>
      <c r="C5888" s="40"/>
      <c r="D5888" s="40"/>
      <c r="E5888" s="13" t="s">
        <v>87</v>
      </c>
      <c r="F5888" s="14">
        <f ca="1">SUM(Table368238[MONTO TOTAL ESTIMADO])</f>
        <v>1400000</v>
      </c>
    </row>
    <row r="5889" spans="1:6" ht="15.75" thickBot="1" x14ac:dyDescent="0.3">
      <c r="A5889" s="42"/>
      <c r="B5889" s="42"/>
      <c r="C5889" s="42"/>
      <c r="D5889" s="42"/>
      <c r="E5889" s="42"/>
      <c r="F5889" s="42"/>
    </row>
    <row r="5890" spans="1:6" ht="23.25" thickBot="1" x14ac:dyDescent="0.3">
      <c r="A5890" s="4" t="s">
        <v>19</v>
      </c>
      <c r="B5890" s="4" t="s">
        <v>20</v>
      </c>
      <c r="C5890" s="4" t="s">
        <v>21</v>
      </c>
      <c r="D5890" s="4" t="s">
        <v>22</v>
      </c>
      <c r="E5890" s="4" t="s">
        <v>23</v>
      </c>
      <c r="F5890" s="4" t="s">
        <v>24</v>
      </c>
    </row>
    <row r="5891" spans="1:6" ht="15.75" thickBot="1" x14ac:dyDescent="0.3">
      <c r="A5891" s="32" t="s">
        <v>291</v>
      </c>
      <c r="B5891" s="32" t="s">
        <v>292</v>
      </c>
      <c r="C5891" s="32" t="s">
        <v>129</v>
      </c>
      <c r="D5891" s="6" t="s">
        <v>28</v>
      </c>
      <c r="E5891" s="32" t="s">
        <v>262</v>
      </c>
      <c r="F5891" s="6"/>
    </row>
    <row r="5892" spans="1:6" ht="15.75" thickBot="1" x14ac:dyDescent="0.3">
      <c r="A5892" s="35" t="s">
        <v>31</v>
      </c>
      <c r="B5892" s="7" t="s">
        <v>32</v>
      </c>
      <c r="C5892" s="15">
        <v>45566</v>
      </c>
      <c r="D5892" s="35" t="s">
        <v>33</v>
      </c>
      <c r="E5892" s="7" t="s">
        <v>34</v>
      </c>
      <c r="F5892" s="6"/>
    </row>
    <row r="5893" spans="1:6" ht="15.75" thickBot="1" x14ac:dyDescent="0.3">
      <c r="A5893" s="36"/>
      <c r="B5893" s="7" t="s">
        <v>36</v>
      </c>
      <c r="C5893" s="5">
        <f>IF(C5892="","",IF(AND(MONTH(C5892)&gt;=1,MONTH(C5892)&lt;=3),1,IF(AND(MONTH(C5892)&gt;=4,MONTH(C5892)&lt;=6),2,IF(AND(MONTH(C5892)&gt;=7,MONTH(C5892)&lt;=9),3,4))))</f>
        <v>4</v>
      </c>
      <c r="D5893" s="36"/>
      <c r="E5893" s="7" t="s">
        <v>37</v>
      </c>
      <c r="F5893" s="6"/>
    </row>
    <row r="5894" spans="1:6" ht="15.75" thickBot="1" x14ac:dyDescent="0.3">
      <c r="A5894" s="36"/>
      <c r="B5894" s="7" t="s">
        <v>39</v>
      </c>
      <c r="C5894" s="15">
        <v>45656</v>
      </c>
      <c r="D5894" s="36"/>
      <c r="E5894" s="7" t="s">
        <v>40</v>
      </c>
      <c r="F5894" s="6"/>
    </row>
    <row r="5895" spans="1:6" ht="15.75" thickBot="1" x14ac:dyDescent="0.3">
      <c r="A5895" s="36"/>
      <c r="B5895" s="7" t="s">
        <v>36</v>
      </c>
      <c r="C5895" s="5">
        <f>IF(C5894="","",IF(AND(MONTH(C5894)&gt;=1,MONTH(C5894)&lt;=3),1,IF(AND(MONTH(C5894)&gt;=4,MONTH(C5894)&lt;=6),2,IF(AND(MONTH(C5894)&gt;=7,MONTH(C5894)&lt;=9),3,4))))</f>
        <v>4</v>
      </c>
      <c r="D5895" s="36"/>
      <c r="E5895" s="7" t="s">
        <v>41</v>
      </c>
      <c r="F5895" s="6"/>
    </row>
    <row r="5896" spans="1:6" ht="15.75" thickBot="1" x14ac:dyDescent="0.3">
      <c r="A5896" s="40"/>
      <c r="B5896" s="40"/>
      <c r="C5896" s="40"/>
      <c r="D5896" s="40"/>
      <c r="E5896" s="40"/>
      <c r="F5896" s="40"/>
    </row>
    <row r="5897" spans="1:6" ht="15.75" thickBot="1" x14ac:dyDescent="0.3">
      <c r="A5897" s="12" t="s">
        <v>42</v>
      </c>
      <c r="B5897" s="12" t="s">
        <v>43</v>
      </c>
      <c r="C5897" s="12" t="s">
        <v>44</v>
      </c>
      <c r="D5897" s="12" t="s">
        <v>45</v>
      </c>
      <c r="E5897" s="12" t="s">
        <v>46</v>
      </c>
      <c r="F5897" s="12" t="s">
        <v>47</v>
      </c>
    </row>
    <row r="5898" spans="1:6" x14ac:dyDescent="0.25">
      <c r="A5898" s="8">
        <v>90101603</v>
      </c>
      <c r="B5898" s="9" t="str">
        <f ca="1">IFERROR(INDEX(UNSPSCDes,MATCH(INDIRECT(ADDRESS(ROW(),COLUMN()-1,4)),UNSPSCCode,0)),"")</f>
        <v>Servicios de cáterin</v>
      </c>
      <c r="C5898" s="8" t="s">
        <v>55</v>
      </c>
      <c r="D5898" s="8">
        <v>1</v>
      </c>
      <c r="E5898" s="11">
        <v>465000</v>
      </c>
      <c r="F5898" s="10">
        <f ca="1">INDIRECT(ADDRESS(ROW(),COLUMN()-2,4))*INDIRECT(ADDRESS(ROW(),COLUMN()-1,4))</f>
        <v>465000</v>
      </c>
    </row>
    <row r="5899" spans="1:6" x14ac:dyDescent="0.25">
      <c r="A5899" s="8">
        <v>90101802</v>
      </c>
      <c r="B5899" s="9" t="str">
        <f ca="1">IFERROR(INDEX(UNSPSCDes,MATCH(INDIRECT(ADDRESS(ROW(),COLUMN()-1,4)),UNSPSCCode,0)),"")</f>
        <v>Servicios de comidas a domicilio</v>
      </c>
      <c r="C5899" s="33" t="s">
        <v>55</v>
      </c>
      <c r="D5899" s="8">
        <v>1</v>
      </c>
      <c r="E5899" s="11">
        <v>895000</v>
      </c>
      <c r="F5899" s="10">
        <f ca="1">INDIRECT(ADDRESS(ROW(),COLUMN()-2,4))*INDIRECT(ADDRESS(ROW(),COLUMN()-1,4))</f>
        <v>895000</v>
      </c>
    </row>
    <row r="5900" spans="1:6" x14ac:dyDescent="0.25">
      <c r="A5900" s="40"/>
      <c r="B5900" s="40"/>
      <c r="C5900" s="40"/>
      <c r="D5900" s="40"/>
      <c r="E5900" s="13" t="s">
        <v>87</v>
      </c>
      <c r="F5900" s="14">
        <f ca="1">SUM(Table369239[MONTO TOTAL ESTIMADO])</f>
        <v>1360000</v>
      </c>
    </row>
    <row r="5901" spans="1:6" ht="15.75" thickBot="1" x14ac:dyDescent="0.3">
      <c r="A5901" s="42"/>
      <c r="B5901" s="42"/>
      <c r="C5901" s="42"/>
      <c r="D5901" s="42"/>
      <c r="E5901" s="42"/>
      <c r="F5901" s="42"/>
    </row>
    <row r="5902" spans="1:6" ht="23.25" thickBot="1" x14ac:dyDescent="0.3">
      <c r="A5902" s="4" t="s">
        <v>19</v>
      </c>
      <c r="B5902" s="4" t="s">
        <v>20</v>
      </c>
      <c r="C5902" s="4" t="s">
        <v>21</v>
      </c>
      <c r="D5902" s="4" t="s">
        <v>22</v>
      </c>
      <c r="E5902" s="4" t="s">
        <v>23</v>
      </c>
      <c r="F5902" s="4" t="s">
        <v>24</v>
      </c>
    </row>
    <row r="5903" spans="1:6" ht="15.75" thickBot="1" x14ac:dyDescent="0.3">
      <c r="A5903" s="32" t="s">
        <v>219</v>
      </c>
      <c r="B5903" s="32" t="s">
        <v>294</v>
      </c>
      <c r="C5903" s="32" t="s">
        <v>129</v>
      </c>
      <c r="D5903" s="6" t="s">
        <v>28</v>
      </c>
      <c r="E5903" s="32" t="s">
        <v>262</v>
      </c>
      <c r="F5903" s="6"/>
    </row>
    <row r="5904" spans="1:6" ht="15.75" thickBot="1" x14ac:dyDescent="0.3">
      <c r="A5904" s="35" t="s">
        <v>31</v>
      </c>
      <c r="B5904" s="7" t="s">
        <v>32</v>
      </c>
      <c r="C5904" s="15">
        <v>45566</v>
      </c>
      <c r="D5904" s="35" t="s">
        <v>33</v>
      </c>
      <c r="E5904" s="7" t="s">
        <v>34</v>
      </c>
      <c r="F5904" s="6"/>
    </row>
    <row r="5905" spans="1:6" ht="15.75" thickBot="1" x14ac:dyDescent="0.3">
      <c r="A5905" s="36"/>
      <c r="B5905" s="7" t="s">
        <v>36</v>
      </c>
      <c r="C5905" s="5">
        <f>IF(C5904="","",IF(AND(MONTH(C5904)&gt;=1,MONTH(C5904)&lt;=3),1,IF(AND(MONTH(C5904)&gt;=4,MONTH(C5904)&lt;=6),2,IF(AND(MONTH(C5904)&gt;=7,MONTH(C5904)&lt;=9),3,4))))</f>
        <v>4</v>
      </c>
      <c r="D5905" s="36"/>
      <c r="E5905" s="7" t="s">
        <v>37</v>
      </c>
      <c r="F5905" s="6"/>
    </row>
    <row r="5906" spans="1:6" ht="15.75" thickBot="1" x14ac:dyDescent="0.3">
      <c r="A5906" s="36"/>
      <c r="B5906" s="7" t="s">
        <v>39</v>
      </c>
      <c r="C5906" s="15">
        <v>45656</v>
      </c>
      <c r="D5906" s="36"/>
      <c r="E5906" s="7" t="s">
        <v>40</v>
      </c>
      <c r="F5906" s="6"/>
    </row>
    <row r="5907" spans="1:6" ht="15.75" thickBot="1" x14ac:dyDescent="0.3">
      <c r="A5907" s="36"/>
      <c r="B5907" s="7" t="s">
        <v>36</v>
      </c>
      <c r="C5907" s="5">
        <f>IF(C5906="","",IF(AND(MONTH(C5906)&gt;=1,MONTH(C5906)&lt;=3),1,IF(AND(MONTH(C5906)&gt;=4,MONTH(C5906)&lt;=6),2,IF(AND(MONTH(C5906)&gt;=7,MONTH(C5906)&lt;=9),3,4))))</f>
        <v>4</v>
      </c>
      <c r="D5907" s="36"/>
      <c r="E5907" s="7" t="s">
        <v>41</v>
      </c>
      <c r="F5907" s="6"/>
    </row>
    <row r="5908" spans="1:6" ht="15.75" thickBot="1" x14ac:dyDescent="0.3">
      <c r="A5908" s="40"/>
      <c r="B5908" s="40"/>
      <c r="C5908" s="40"/>
      <c r="D5908" s="40"/>
      <c r="E5908" s="40"/>
      <c r="F5908" s="40"/>
    </row>
    <row r="5909" spans="1:6" ht="15.75" thickBot="1" x14ac:dyDescent="0.3">
      <c r="A5909" s="12" t="s">
        <v>42</v>
      </c>
      <c r="B5909" s="12" t="s">
        <v>43</v>
      </c>
      <c r="C5909" s="12" t="s">
        <v>44</v>
      </c>
      <c r="D5909" s="12" t="s">
        <v>45</v>
      </c>
      <c r="E5909" s="12" t="s">
        <v>46</v>
      </c>
      <c r="F5909" s="12" t="s">
        <v>47</v>
      </c>
    </row>
    <row r="5910" spans="1:6" x14ac:dyDescent="0.25">
      <c r="A5910" s="8">
        <v>80141607</v>
      </c>
      <c r="B5910" s="9" t="str">
        <f ca="1">IFERROR(INDEX(UNSPSCDes,MATCH(INDIRECT(ADDRESS(ROW(),COLUMN()-1,4)),UNSPSCCode,0)),"")</f>
        <v>Gestión de eventos</v>
      </c>
      <c r="C5910" s="8" t="s">
        <v>55</v>
      </c>
      <c r="D5910" s="8">
        <v>1</v>
      </c>
      <c r="E5910" s="11">
        <v>1295000</v>
      </c>
      <c r="F5910" s="10">
        <f ca="1">INDIRECT(ADDRESS(ROW(),COLUMN()-2,4))*INDIRECT(ADDRESS(ROW(),COLUMN()-1,4))</f>
        <v>1295000</v>
      </c>
    </row>
    <row r="5911" spans="1:6" x14ac:dyDescent="0.25">
      <c r="A5911" s="40"/>
      <c r="B5911" s="40"/>
      <c r="C5911" s="40"/>
      <c r="D5911" s="40"/>
      <c r="E5911" s="13" t="s">
        <v>87</v>
      </c>
      <c r="F5911" s="14">
        <f ca="1">SUM(Table370240[MONTO TOTAL ESTIMADO])</f>
        <v>1295000</v>
      </c>
    </row>
    <row r="5912" spans="1:6" ht="15.75" thickBot="1" x14ac:dyDescent="0.3">
      <c r="A5912" s="42"/>
      <c r="B5912" s="42"/>
      <c r="C5912" s="42"/>
      <c r="D5912" s="42"/>
      <c r="E5912" s="42"/>
      <c r="F5912" s="42"/>
    </row>
    <row r="5913" spans="1:6" ht="23.25" thickBot="1" x14ac:dyDescent="0.3">
      <c r="A5913" s="4" t="s">
        <v>19</v>
      </c>
      <c r="B5913" s="4" t="s">
        <v>20</v>
      </c>
      <c r="C5913" s="4" t="s">
        <v>21</v>
      </c>
      <c r="D5913" s="4" t="s">
        <v>22</v>
      </c>
      <c r="E5913" s="4" t="s">
        <v>23</v>
      </c>
      <c r="F5913" s="4" t="s">
        <v>24</v>
      </c>
    </row>
    <row r="5914" spans="1:6" ht="15.75" thickBot="1" x14ac:dyDescent="0.3">
      <c r="A5914" s="32" t="s">
        <v>295</v>
      </c>
      <c r="B5914" s="32" t="s">
        <v>296</v>
      </c>
      <c r="C5914" s="32" t="s">
        <v>129</v>
      </c>
      <c r="D5914" s="6" t="s">
        <v>28</v>
      </c>
      <c r="E5914" s="32" t="s">
        <v>262</v>
      </c>
      <c r="F5914" s="6"/>
    </row>
    <row r="5915" spans="1:6" ht="15.75" thickBot="1" x14ac:dyDescent="0.3">
      <c r="A5915" s="35" t="s">
        <v>31</v>
      </c>
      <c r="B5915" s="7" t="s">
        <v>32</v>
      </c>
      <c r="C5915" s="15">
        <v>45566</v>
      </c>
      <c r="D5915" s="35" t="s">
        <v>33</v>
      </c>
      <c r="E5915" s="7" t="s">
        <v>34</v>
      </c>
      <c r="F5915" s="6"/>
    </row>
    <row r="5916" spans="1:6" ht="15.75" thickBot="1" x14ac:dyDescent="0.3">
      <c r="A5916" s="36"/>
      <c r="B5916" s="7" t="s">
        <v>36</v>
      </c>
      <c r="C5916" s="5">
        <f>IF(C5915="","",IF(AND(MONTH(C5915)&gt;=1,MONTH(C5915)&lt;=3),1,IF(AND(MONTH(C5915)&gt;=4,MONTH(C5915)&lt;=6),2,IF(AND(MONTH(C5915)&gt;=7,MONTH(C5915)&lt;=9),3,4))))</f>
        <v>4</v>
      </c>
      <c r="D5916" s="36"/>
      <c r="E5916" s="7" t="s">
        <v>37</v>
      </c>
      <c r="F5916" s="6"/>
    </row>
    <row r="5917" spans="1:6" ht="15.75" thickBot="1" x14ac:dyDescent="0.3">
      <c r="A5917" s="36"/>
      <c r="B5917" s="7" t="s">
        <v>39</v>
      </c>
      <c r="C5917" s="15">
        <v>45656</v>
      </c>
      <c r="D5917" s="36"/>
      <c r="E5917" s="7" t="s">
        <v>40</v>
      </c>
      <c r="F5917" s="6"/>
    </row>
    <row r="5918" spans="1:6" ht="15.75" thickBot="1" x14ac:dyDescent="0.3">
      <c r="A5918" s="36"/>
      <c r="B5918" s="7" t="s">
        <v>36</v>
      </c>
      <c r="C5918" s="5">
        <f>IF(C5917="","",IF(AND(MONTH(C5917)&gt;=1,MONTH(C5917)&lt;=3),1,IF(AND(MONTH(C5917)&gt;=4,MONTH(C5917)&lt;=6),2,IF(AND(MONTH(C5917)&gt;=7,MONTH(C5917)&lt;=9),3,4))))</f>
        <v>4</v>
      </c>
      <c r="D5918" s="36"/>
      <c r="E5918" s="7" t="s">
        <v>41</v>
      </c>
      <c r="F5918" s="6"/>
    </row>
    <row r="5919" spans="1:6" ht="15.75" thickBot="1" x14ac:dyDescent="0.3">
      <c r="A5919" s="40"/>
      <c r="B5919" s="40"/>
      <c r="C5919" s="40"/>
      <c r="D5919" s="40"/>
      <c r="E5919" s="40"/>
      <c r="F5919" s="40"/>
    </row>
    <row r="5920" spans="1:6" ht="15.75" thickBot="1" x14ac:dyDescent="0.3">
      <c r="A5920" s="12" t="s">
        <v>42</v>
      </c>
      <c r="B5920" s="12" t="s">
        <v>43</v>
      </c>
      <c r="C5920" s="12" t="s">
        <v>44</v>
      </c>
      <c r="D5920" s="12" t="s">
        <v>45</v>
      </c>
      <c r="E5920" s="12" t="s">
        <v>46</v>
      </c>
      <c r="F5920" s="12" t="s">
        <v>47</v>
      </c>
    </row>
    <row r="5921" spans="1:6" x14ac:dyDescent="0.25">
      <c r="A5921" s="8">
        <v>80141607</v>
      </c>
      <c r="B5921" s="9" t="str">
        <f ca="1">IFERROR(INDEX(UNSPSCDes,MATCH(INDIRECT(ADDRESS(ROW(),COLUMN()-1,4)),UNSPSCCode,0)),"")</f>
        <v>Gestión de eventos</v>
      </c>
      <c r="C5921" s="8" t="s">
        <v>55</v>
      </c>
      <c r="D5921" s="8">
        <v>1</v>
      </c>
      <c r="E5921" s="11">
        <v>1315000</v>
      </c>
      <c r="F5921" s="10">
        <f ca="1">INDIRECT(ADDRESS(ROW(),COLUMN()-2,4))*INDIRECT(ADDRESS(ROW(),COLUMN()-1,4))</f>
        <v>1315000</v>
      </c>
    </row>
    <row r="5922" spans="1:6" x14ac:dyDescent="0.25">
      <c r="A5922" s="40"/>
      <c r="B5922" s="40"/>
      <c r="C5922" s="40"/>
      <c r="D5922" s="40"/>
      <c r="E5922" s="13" t="s">
        <v>87</v>
      </c>
      <c r="F5922" s="14">
        <f ca="1">SUM(Table371241[MONTO TOTAL ESTIMADO])</f>
        <v>1315000</v>
      </c>
    </row>
    <row r="5923" spans="1:6" ht="15.75" thickBot="1" x14ac:dyDescent="0.3">
      <c r="A5923" s="42"/>
      <c r="B5923" s="42"/>
      <c r="C5923" s="42"/>
      <c r="D5923" s="42"/>
      <c r="E5923" s="42"/>
      <c r="F5923" s="42"/>
    </row>
    <row r="5924" spans="1:6" ht="23.25" thickBot="1" x14ac:dyDescent="0.3">
      <c r="A5924" s="4" t="s">
        <v>19</v>
      </c>
      <c r="B5924" s="4" t="s">
        <v>20</v>
      </c>
      <c r="C5924" s="4" t="s">
        <v>21</v>
      </c>
      <c r="D5924" s="4" t="s">
        <v>22</v>
      </c>
      <c r="E5924" s="4" t="s">
        <v>23</v>
      </c>
      <c r="F5924" s="4" t="s">
        <v>24</v>
      </c>
    </row>
    <row r="5925" spans="1:6" ht="15.75" thickBot="1" x14ac:dyDescent="0.3">
      <c r="A5925" s="32" t="s">
        <v>219</v>
      </c>
      <c r="B5925" s="32" t="s">
        <v>294</v>
      </c>
      <c r="C5925" s="32" t="s">
        <v>129</v>
      </c>
      <c r="D5925" s="6" t="s">
        <v>28</v>
      </c>
      <c r="E5925" s="32" t="s">
        <v>262</v>
      </c>
      <c r="F5925" s="6"/>
    </row>
    <row r="5926" spans="1:6" ht="15.75" thickBot="1" x14ac:dyDescent="0.3">
      <c r="A5926" s="35" t="s">
        <v>31</v>
      </c>
      <c r="B5926" s="7" t="s">
        <v>32</v>
      </c>
      <c r="C5926" s="15">
        <v>45566</v>
      </c>
      <c r="D5926" s="35" t="s">
        <v>33</v>
      </c>
      <c r="E5926" s="7" t="s">
        <v>34</v>
      </c>
      <c r="F5926" s="6"/>
    </row>
    <row r="5927" spans="1:6" ht="15.75" thickBot="1" x14ac:dyDescent="0.3">
      <c r="A5927" s="36"/>
      <c r="B5927" s="7" t="s">
        <v>36</v>
      </c>
      <c r="C5927" s="5">
        <f>IF(C5926="","",IF(AND(MONTH(C5926)&gt;=1,MONTH(C5926)&lt;=3),1,IF(AND(MONTH(C5926)&gt;=4,MONTH(C5926)&lt;=6),2,IF(AND(MONTH(C5926)&gt;=7,MONTH(C5926)&lt;=9),3,4))))</f>
        <v>4</v>
      </c>
      <c r="D5927" s="36"/>
      <c r="E5927" s="7" t="s">
        <v>37</v>
      </c>
      <c r="F5927" s="6"/>
    </row>
    <row r="5928" spans="1:6" ht="15.75" thickBot="1" x14ac:dyDescent="0.3">
      <c r="A5928" s="36"/>
      <c r="B5928" s="7" t="s">
        <v>39</v>
      </c>
      <c r="C5928" s="15">
        <v>45656</v>
      </c>
      <c r="D5928" s="36"/>
      <c r="E5928" s="7" t="s">
        <v>40</v>
      </c>
      <c r="F5928" s="6"/>
    </row>
    <row r="5929" spans="1:6" ht="15.75" thickBot="1" x14ac:dyDescent="0.3">
      <c r="A5929" s="36"/>
      <c r="B5929" s="7" t="s">
        <v>36</v>
      </c>
      <c r="C5929" s="5">
        <f>IF(C5928="","",IF(AND(MONTH(C5928)&gt;=1,MONTH(C5928)&lt;=3),1,IF(AND(MONTH(C5928)&gt;=4,MONTH(C5928)&lt;=6),2,IF(AND(MONTH(C5928)&gt;=7,MONTH(C5928)&lt;=9),3,4))))</f>
        <v>4</v>
      </c>
      <c r="D5929" s="36"/>
      <c r="E5929" s="7" t="s">
        <v>41</v>
      </c>
      <c r="F5929" s="6"/>
    </row>
    <row r="5930" spans="1:6" ht="15.75" thickBot="1" x14ac:dyDescent="0.3">
      <c r="A5930" s="40"/>
      <c r="B5930" s="40"/>
      <c r="C5930" s="40"/>
      <c r="D5930" s="40"/>
      <c r="E5930" s="40"/>
      <c r="F5930" s="40"/>
    </row>
    <row r="5931" spans="1:6" ht="15.75" thickBot="1" x14ac:dyDescent="0.3">
      <c r="A5931" s="12" t="s">
        <v>42</v>
      </c>
      <c r="B5931" s="12" t="s">
        <v>43</v>
      </c>
      <c r="C5931" s="12" t="s">
        <v>44</v>
      </c>
      <c r="D5931" s="12" t="s">
        <v>45</v>
      </c>
      <c r="E5931" s="12" t="s">
        <v>46</v>
      </c>
      <c r="F5931" s="12" t="s">
        <v>47</v>
      </c>
    </row>
    <row r="5932" spans="1:6" x14ac:dyDescent="0.25">
      <c r="A5932" s="8">
        <v>80141607</v>
      </c>
      <c r="B5932" s="9" t="str">
        <f ca="1">IFERROR(INDEX(UNSPSCDes,MATCH(INDIRECT(ADDRESS(ROW(),COLUMN()-1,4)),UNSPSCCode,0)),"")</f>
        <v>Gestión de eventos</v>
      </c>
      <c r="C5932" s="8" t="s">
        <v>55</v>
      </c>
      <c r="D5932" s="8">
        <v>1</v>
      </c>
      <c r="E5932" s="11">
        <v>1350000</v>
      </c>
      <c r="F5932" s="10">
        <f ca="1">INDIRECT(ADDRESS(ROW(),COLUMN()-2,4))*INDIRECT(ADDRESS(ROW(),COLUMN()-1,4))</f>
        <v>1350000</v>
      </c>
    </row>
    <row r="5933" spans="1:6" x14ac:dyDescent="0.25">
      <c r="A5933" s="40"/>
      <c r="B5933" s="40"/>
      <c r="C5933" s="40"/>
      <c r="D5933" s="40"/>
      <c r="E5933" s="13" t="s">
        <v>87</v>
      </c>
      <c r="F5933" s="14">
        <f ca="1">SUM(Table372242[MONTO TOTAL ESTIMADO])</f>
        <v>1350000</v>
      </c>
    </row>
    <row r="5934" spans="1:6" ht="15.75" thickBot="1" x14ac:dyDescent="0.3">
      <c r="A5934" s="42"/>
      <c r="B5934" s="42"/>
      <c r="C5934" s="42"/>
      <c r="D5934" s="42"/>
      <c r="E5934" s="42"/>
      <c r="F5934" s="42"/>
    </row>
    <row r="5935" spans="1:6" ht="23.25" thickBot="1" x14ac:dyDescent="0.3">
      <c r="A5935" s="4" t="s">
        <v>19</v>
      </c>
      <c r="B5935" s="4" t="s">
        <v>20</v>
      </c>
      <c r="C5935" s="4" t="s">
        <v>21</v>
      </c>
      <c r="D5935" s="4" t="s">
        <v>22</v>
      </c>
      <c r="E5935" s="4" t="s">
        <v>23</v>
      </c>
      <c r="F5935" s="4" t="s">
        <v>24</v>
      </c>
    </row>
    <row r="5936" spans="1:6" ht="15.75" thickBot="1" x14ac:dyDescent="0.3">
      <c r="A5936" s="32" t="s">
        <v>295</v>
      </c>
      <c r="B5936" s="32" t="s">
        <v>296</v>
      </c>
      <c r="C5936" s="32" t="s">
        <v>129</v>
      </c>
      <c r="D5936" s="6" t="s">
        <v>28</v>
      </c>
      <c r="E5936" s="32" t="s">
        <v>262</v>
      </c>
      <c r="F5936" s="6"/>
    </row>
    <row r="5937" spans="1:6" ht="15.75" thickBot="1" x14ac:dyDescent="0.3">
      <c r="A5937" s="35" t="s">
        <v>31</v>
      </c>
      <c r="B5937" s="7" t="s">
        <v>32</v>
      </c>
      <c r="C5937" s="15">
        <v>45566</v>
      </c>
      <c r="D5937" s="35" t="s">
        <v>33</v>
      </c>
      <c r="E5937" s="7" t="s">
        <v>34</v>
      </c>
      <c r="F5937" s="6"/>
    </row>
    <row r="5938" spans="1:6" ht="15.75" thickBot="1" x14ac:dyDescent="0.3">
      <c r="A5938" s="36"/>
      <c r="B5938" s="7" t="s">
        <v>36</v>
      </c>
      <c r="C5938" s="5">
        <f>IF(C5937="","",IF(AND(MONTH(C5937)&gt;=1,MONTH(C5937)&lt;=3),1,IF(AND(MONTH(C5937)&gt;=4,MONTH(C5937)&lt;=6),2,IF(AND(MONTH(C5937)&gt;=7,MONTH(C5937)&lt;=9),3,4))))</f>
        <v>4</v>
      </c>
      <c r="D5938" s="36"/>
      <c r="E5938" s="7" t="s">
        <v>37</v>
      </c>
      <c r="F5938" s="6"/>
    </row>
    <row r="5939" spans="1:6" ht="15.75" thickBot="1" x14ac:dyDescent="0.3">
      <c r="A5939" s="36"/>
      <c r="B5939" s="7" t="s">
        <v>39</v>
      </c>
      <c r="C5939" s="15">
        <v>45656</v>
      </c>
      <c r="D5939" s="36"/>
      <c r="E5939" s="7" t="s">
        <v>40</v>
      </c>
      <c r="F5939" s="6"/>
    </row>
    <row r="5940" spans="1:6" ht="15.75" thickBot="1" x14ac:dyDescent="0.3">
      <c r="A5940" s="36"/>
      <c r="B5940" s="7" t="s">
        <v>36</v>
      </c>
      <c r="C5940" s="5">
        <f>IF(C5939="","",IF(AND(MONTH(C5939)&gt;=1,MONTH(C5939)&lt;=3),1,IF(AND(MONTH(C5939)&gt;=4,MONTH(C5939)&lt;=6),2,IF(AND(MONTH(C5939)&gt;=7,MONTH(C5939)&lt;=9),3,4))))</f>
        <v>4</v>
      </c>
      <c r="D5940" s="36"/>
      <c r="E5940" s="7" t="s">
        <v>41</v>
      </c>
      <c r="F5940" s="6"/>
    </row>
    <row r="5941" spans="1:6" ht="15.75" thickBot="1" x14ac:dyDescent="0.3">
      <c r="A5941" s="40"/>
      <c r="B5941" s="40"/>
      <c r="C5941" s="40"/>
      <c r="D5941" s="40"/>
      <c r="E5941" s="40"/>
      <c r="F5941" s="40"/>
    </row>
    <row r="5942" spans="1:6" ht="15.75" thickBot="1" x14ac:dyDescent="0.3">
      <c r="A5942" s="12" t="s">
        <v>42</v>
      </c>
      <c r="B5942" s="12" t="s">
        <v>43</v>
      </c>
      <c r="C5942" s="12" t="s">
        <v>44</v>
      </c>
      <c r="D5942" s="12" t="s">
        <v>45</v>
      </c>
      <c r="E5942" s="12" t="s">
        <v>46</v>
      </c>
      <c r="F5942" s="12" t="s">
        <v>47</v>
      </c>
    </row>
    <row r="5943" spans="1:6" x14ac:dyDescent="0.25">
      <c r="A5943" s="8">
        <v>80141607</v>
      </c>
      <c r="B5943" s="9" t="str">
        <f ca="1">IFERROR(INDEX(UNSPSCDes,MATCH(INDIRECT(ADDRESS(ROW(),COLUMN()-1,4)),UNSPSCCode,0)),"")</f>
        <v>Gestión de eventos</v>
      </c>
      <c r="C5943" s="8" t="s">
        <v>55</v>
      </c>
      <c r="D5943" s="8">
        <v>1</v>
      </c>
      <c r="E5943" s="11">
        <v>1450000</v>
      </c>
      <c r="F5943" s="10">
        <f ca="1">INDIRECT(ADDRESS(ROW(),COLUMN()-2,4))*INDIRECT(ADDRESS(ROW(),COLUMN()-1,4))</f>
        <v>1450000</v>
      </c>
    </row>
    <row r="5944" spans="1:6" x14ac:dyDescent="0.25">
      <c r="A5944" s="40"/>
      <c r="B5944" s="40"/>
      <c r="C5944" s="40"/>
      <c r="D5944" s="40"/>
      <c r="E5944" s="13" t="s">
        <v>87</v>
      </c>
      <c r="F5944" s="14">
        <f ca="1">SUM(Table373243[MONTO TOTAL ESTIMADO])</f>
        <v>1450000</v>
      </c>
    </row>
    <row r="5945" spans="1:6" ht="15.75" thickBot="1" x14ac:dyDescent="0.3">
      <c r="A5945" s="42"/>
      <c r="B5945" s="42"/>
      <c r="C5945" s="42"/>
      <c r="D5945" s="42"/>
      <c r="E5945" s="42"/>
      <c r="F5945" s="42"/>
    </row>
    <row r="5946" spans="1:6" ht="23.25" thickBot="1" x14ac:dyDescent="0.3">
      <c r="A5946" s="4" t="s">
        <v>19</v>
      </c>
      <c r="B5946" s="4" t="s">
        <v>20</v>
      </c>
      <c r="C5946" s="4" t="s">
        <v>21</v>
      </c>
      <c r="D5946" s="4" t="s">
        <v>22</v>
      </c>
      <c r="E5946" s="4" t="s">
        <v>23</v>
      </c>
      <c r="F5946" s="4" t="s">
        <v>24</v>
      </c>
    </row>
    <row r="5947" spans="1:6" ht="15.75" thickBot="1" x14ac:dyDescent="0.3">
      <c r="A5947" s="32" t="s">
        <v>297</v>
      </c>
      <c r="B5947" s="32" t="s">
        <v>298</v>
      </c>
      <c r="C5947" s="32" t="s">
        <v>129</v>
      </c>
      <c r="D5947" s="6" t="s">
        <v>188</v>
      </c>
      <c r="E5947" s="32" t="s">
        <v>262</v>
      </c>
      <c r="F5947" s="6"/>
    </row>
    <row r="5948" spans="1:6" ht="15.75" thickBot="1" x14ac:dyDescent="0.3">
      <c r="A5948" s="35" t="s">
        <v>31</v>
      </c>
      <c r="B5948" s="7" t="s">
        <v>32</v>
      </c>
      <c r="C5948" s="15">
        <v>45566</v>
      </c>
      <c r="D5948" s="35" t="s">
        <v>33</v>
      </c>
      <c r="E5948" s="7" t="s">
        <v>34</v>
      </c>
      <c r="F5948" s="6"/>
    </row>
    <row r="5949" spans="1:6" ht="15.75" thickBot="1" x14ac:dyDescent="0.3">
      <c r="A5949" s="36"/>
      <c r="B5949" s="7" t="s">
        <v>36</v>
      </c>
      <c r="C5949" s="5">
        <f>IF(C5948="","",IF(AND(MONTH(C5948)&gt;=1,MONTH(C5948)&lt;=3),1,IF(AND(MONTH(C5948)&gt;=4,MONTH(C5948)&lt;=6),2,IF(AND(MONTH(C5948)&gt;=7,MONTH(C5948)&lt;=9),3,4))))</f>
        <v>4</v>
      </c>
      <c r="D5949" s="36"/>
      <c r="E5949" s="7" t="s">
        <v>37</v>
      </c>
      <c r="F5949" s="6"/>
    </row>
    <row r="5950" spans="1:6" ht="15.75" thickBot="1" x14ac:dyDescent="0.3">
      <c r="A5950" s="36"/>
      <c r="B5950" s="7" t="s">
        <v>39</v>
      </c>
      <c r="C5950" s="15">
        <v>45656</v>
      </c>
      <c r="D5950" s="36"/>
      <c r="E5950" s="7" t="s">
        <v>40</v>
      </c>
      <c r="F5950" s="6"/>
    </row>
    <row r="5951" spans="1:6" ht="15.75" thickBot="1" x14ac:dyDescent="0.3">
      <c r="A5951" s="36"/>
      <c r="B5951" s="7" t="s">
        <v>36</v>
      </c>
      <c r="C5951" s="5">
        <f>IF(C5950="","",IF(AND(MONTH(C5950)&gt;=1,MONTH(C5950)&lt;=3),1,IF(AND(MONTH(C5950)&gt;=4,MONTH(C5950)&lt;=6),2,IF(AND(MONTH(C5950)&gt;=7,MONTH(C5950)&lt;=9),3,4))))</f>
        <v>4</v>
      </c>
      <c r="D5951" s="36"/>
      <c r="E5951" s="7" t="s">
        <v>41</v>
      </c>
      <c r="F5951" s="6"/>
    </row>
    <row r="5952" spans="1:6" ht="15.75" thickBot="1" x14ac:dyDescent="0.3">
      <c r="A5952" s="40"/>
      <c r="B5952" s="40"/>
      <c r="C5952" s="40"/>
      <c r="D5952" s="40"/>
      <c r="E5952" s="40"/>
      <c r="F5952" s="40"/>
    </row>
    <row r="5953" spans="1:6" ht="15.75" thickBot="1" x14ac:dyDescent="0.3">
      <c r="A5953" s="12" t="s">
        <v>42</v>
      </c>
      <c r="B5953" s="12" t="s">
        <v>43</v>
      </c>
      <c r="C5953" s="12" t="s">
        <v>44</v>
      </c>
      <c r="D5953" s="12" t="s">
        <v>45</v>
      </c>
      <c r="E5953" s="12" t="s">
        <v>46</v>
      </c>
      <c r="F5953" s="12" t="s">
        <v>47</v>
      </c>
    </row>
    <row r="5954" spans="1:6" x14ac:dyDescent="0.25">
      <c r="A5954" s="8">
        <v>72101601</v>
      </c>
      <c r="B5954" s="9" t="str">
        <f ca="1">IFERROR(INDEX(UNSPSCDes,MATCH(INDIRECT(ADDRESS(ROW(),COLUMN()-1,4)),UNSPSCCode,0)),"")</f>
        <v>Instalación o reparación de techos</v>
      </c>
      <c r="C5954" s="8" t="s">
        <v>55</v>
      </c>
      <c r="D5954" s="8">
        <v>1</v>
      </c>
      <c r="E5954" s="11">
        <v>198000</v>
      </c>
      <c r="F5954" s="10">
        <f ca="1">INDIRECT(ADDRESS(ROW(),COLUMN()-2,4))*INDIRECT(ADDRESS(ROW(),COLUMN()-1,4))</f>
        <v>198000</v>
      </c>
    </row>
    <row r="5955" spans="1:6" x14ac:dyDescent="0.25">
      <c r="A5955" s="40"/>
      <c r="B5955" s="40"/>
      <c r="C5955" s="40"/>
      <c r="D5955" s="40"/>
      <c r="E5955" s="13" t="s">
        <v>87</v>
      </c>
      <c r="F5955" s="14">
        <f ca="1">SUM(Table374244[MONTO TOTAL ESTIMADO])</f>
        <v>198000</v>
      </c>
    </row>
    <row r="5956" spans="1:6" ht="15.75" thickBot="1" x14ac:dyDescent="0.3">
      <c r="A5956" s="42"/>
      <c r="B5956" s="42"/>
      <c r="C5956" s="42"/>
      <c r="D5956" s="42"/>
      <c r="E5956" s="42"/>
      <c r="F5956" s="42"/>
    </row>
    <row r="5957" spans="1:6" ht="23.25" thickBot="1" x14ac:dyDescent="0.3">
      <c r="A5957" s="4" t="s">
        <v>19</v>
      </c>
      <c r="B5957" s="4" t="s">
        <v>20</v>
      </c>
      <c r="C5957" s="4" t="s">
        <v>21</v>
      </c>
      <c r="D5957" s="4" t="s">
        <v>22</v>
      </c>
      <c r="E5957" s="4" t="s">
        <v>23</v>
      </c>
      <c r="F5957" s="4" t="s">
        <v>24</v>
      </c>
    </row>
    <row r="5958" spans="1:6" ht="15.75" thickBot="1" x14ac:dyDescent="0.3">
      <c r="A5958" s="32" t="s">
        <v>300</v>
      </c>
      <c r="B5958" s="32" t="s">
        <v>301</v>
      </c>
      <c r="C5958" s="32" t="s">
        <v>129</v>
      </c>
      <c r="D5958" s="6" t="s">
        <v>188</v>
      </c>
      <c r="E5958" s="32" t="s">
        <v>262</v>
      </c>
      <c r="F5958" s="6"/>
    </row>
    <row r="5959" spans="1:6" ht="15.75" thickBot="1" x14ac:dyDescent="0.3">
      <c r="A5959" s="35" t="s">
        <v>31</v>
      </c>
      <c r="B5959" s="7" t="s">
        <v>32</v>
      </c>
      <c r="C5959" s="15">
        <v>45566</v>
      </c>
      <c r="D5959" s="35" t="s">
        <v>33</v>
      </c>
      <c r="E5959" s="7" t="s">
        <v>34</v>
      </c>
      <c r="F5959" s="6"/>
    </row>
    <row r="5960" spans="1:6" ht="15.75" thickBot="1" x14ac:dyDescent="0.3">
      <c r="A5960" s="36"/>
      <c r="B5960" s="7" t="s">
        <v>36</v>
      </c>
      <c r="C5960" s="5">
        <f>IF(C5959="","",IF(AND(MONTH(C5959)&gt;=1,MONTH(C5959)&lt;=3),1,IF(AND(MONTH(C5959)&gt;=4,MONTH(C5959)&lt;=6),2,IF(AND(MONTH(C5959)&gt;=7,MONTH(C5959)&lt;=9),3,4))))</f>
        <v>4</v>
      </c>
      <c r="D5960" s="36"/>
      <c r="E5960" s="7" t="s">
        <v>37</v>
      </c>
      <c r="F5960" s="6"/>
    </row>
    <row r="5961" spans="1:6" ht="15.75" thickBot="1" x14ac:dyDescent="0.3">
      <c r="A5961" s="36"/>
      <c r="B5961" s="7" t="s">
        <v>39</v>
      </c>
      <c r="C5961" s="15">
        <v>45656</v>
      </c>
      <c r="D5961" s="36"/>
      <c r="E5961" s="7" t="s">
        <v>40</v>
      </c>
      <c r="F5961" s="6"/>
    </row>
    <row r="5962" spans="1:6" ht="15.75" thickBot="1" x14ac:dyDescent="0.3">
      <c r="A5962" s="36"/>
      <c r="B5962" s="7" t="s">
        <v>36</v>
      </c>
      <c r="C5962" s="5">
        <f>IF(C5961="","",IF(AND(MONTH(C5961)&gt;=1,MONTH(C5961)&lt;=3),1,IF(AND(MONTH(C5961)&gt;=4,MONTH(C5961)&lt;=6),2,IF(AND(MONTH(C5961)&gt;=7,MONTH(C5961)&lt;=9),3,4))))</f>
        <v>4</v>
      </c>
      <c r="D5962" s="36"/>
      <c r="E5962" s="7" t="s">
        <v>41</v>
      </c>
      <c r="F5962" s="6"/>
    </row>
    <row r="5963" spans="1:6" ht="15.75" thickBot="1" x14ac:dyDescent="0.3">
      <c r="A5963" s="40"/>
      <c r="B5963" s="40"/>
      <c r="C5963" s="40"/>
      <c r="D5963" s="40"/>
      <c r="E5963" s="40"/>
      <c r="F5963" s="40"/>
    </row>
    <row r="5964" spans="1:6" ht="15.75" thickBot="1" x14ac:dyDescent="0.3">
      <c r="A5964" s="12" t="s">
        <v>42</v>
      </c>
      <c r="B5964" s="12" t="s">
        <v>43</v>
      </c>
      <c r="C5964" s="12" t="s">
        <v>44</v>
      </c>
      <c r="D5964" s="12" t="s">
        <v>45</v>
      </c>
      <c r="E5964" s="12" t="s">
        <v>46</v>
      </c>
      <c r="F5964" s="12" t="s">
        <v>47</v>
      </c>
    </row>
    <row r="5965" spans="1:6" x14ac:dyDescent="0.25">
      <c r="A5965" s="8">
        <v>90101802</v>
      </c>
      <c r="B5965" s="9" t="str">
        <f ca="1">IFERROR(INDEX(UNSPSCDes,MATCH(INDIRECT(ADDRESS(ROW(),COLUMN()-1,4)),UNSPSCCode,0)),"")</f>
        <v>Servicios de comidas a domicilio</v>
      </c>
      <c r="C5965" s="8" t="s">
        <v>55</v>
      </c>
      <c r="D5965" s="8">
        <v>125</v>
      </c>
      <c r="E5965" s="11">
        <v>550</v>
      </c>
      <c r="F5965" s="10">
        <f ca="1">INDIRECT(ADDRESS(ROW(),COLUMN()-2,4))*INDIRECT(ADDRESS(ROW(),COLUMN()-1,4))</f>
        <v>68750</v>
      </c>
    </row>
    <row r="5966" spans="1:6" x14ac:dyDescent="0.25">
      <c r="A5966" s="8">
        <v>90101802</v>
      </c>
      <c r="B5966" s="9" t="str">
        <f ca="1">IFERROR(INDEX(UNSPSCDes,MATCH(INDIRECT(ADDRESS(ROW(),COLUMN()-1,4)),UNSPSCCode,0)),"")</f>
        <v>Servicios de comidas a domicilio</v>
      </c>
      <c r="C5966" s="33" t="s">
        <v>55</v>
      </c>
      <c r="D5966" s="8">
        <v>125</v>
      </c>
      <c r="E5966" s="11">
        <v>650</v>
      </c>
      <c r="F5966" s="10">
        <f ca="1">INDIRECT(ADDRESS(ROW(),COLUMN()-2,4))*INDIRECT(ADDRESS(ROW(),COLUMN()-1,4))</f>
        <v>81250</v>
      </c>
    </row>
    <row r="5967" spans="1:6" x14ac:dyDescent="0.25">
      <c r="A5967" s="40"/>
      <c r="B5967" s="40"/>
      <c r="C5967" s="40"/>
      <c r="D5967" s="40"/>
      <c r="E5967" s="13" t="s">
        <v>87</v>
      </c>
      <c r="F5967" s="14">
        <f ca="1">SUM(Table375245[MONTO TOTAL ESTIMADO])</f>
        <v>150000</v>
      </c>
    </row>
    <row r="5968" spans="1:6" ht="15.75" thickBot="1" x14ac:dyDescent="0.3">
      <c r="A5968" s="42"/>
      <c r="B5968" s="42"/>
      <c r="C5968" s="42"/>
      <c r="D5968" s="42"/>
      <c r="E5968" s="42"/>
      <c r="F5968" s="42"/>
    </row>
    <row r="5969" spans="1:6" ht="23.25" thickBot="1" x14ac:dyDescent="0.3">
      <c r="A5969" s="4" t="s">
        <v>19</v>
      </c>
      <c r="B5969" s="4" t="s">
        <v>20</v>
      </c>
      <c r="C5969" s="4" t="s">
        <v>21</v>
      </c>
      <c r="D5969" s="4" t="s">
        <v>22</v>
      </c>
      <c r="E5969" s="4" t="s">
        <v>23</v>
      </c>
      <c r="F5969" s="4" t="s">
        <v>24</v>
      </c>
    </row>
    <row r="5970" spans="1:6" ht="15.75" thickBot="1" x14ac:dyDescent="0.3">
      <c r="A5970" s="32" t="s">
        <v>302</v>
      </c>
      <c r="B5970" s="32" t="s">
        <v>303</v>
      </c>
      <c r="C5970" s="32" t="s">
        <v>27</v>
      </c>
      <c r="D5970" s="6" t="s">
        <v>188</v>
      </c>
      <c r="E5970" s="32" t="s">
        <v>262</v>
      </c>
      <c r="F5970" s="6"/>
    </row>
    <row r="5971" spans="1:6" ht="15.75" thickBot="1" x14ac:dyDescent="0.3">
      <c r="A5971" s="35" t="s">
        <v>31</v>
      </c>
      <c r="B5971" s="7" t="s">
        <v>32</v>
      </c>
      <c r="C5971" s="15">
        <v>45566</v>
      </c>
      <c r="D5971" s="35" t="s">
        <v>33</v>
      </c>
      <c r="E5971" s="7" t="s">
        <v>34</v>
      </c>
      <c r="F5971" s="6"/>
    </row>
    <row r="5972" spans="1:6" ht="15.75" thickBot="1" x14ac:dyDescent="0.3">
      <c r="A5972" s="36"/>
      <c r="B5972" s="7" t="s">
        <v>36</v>
      </c>
      <c r="C5972" s="5">
        <f>IF(C5971="","",IF(AND(MONTH(C5971)&gt;=1,MONTH(C5971)&lt;=3),1,IF(AND(MONTH(C5971)&gt;=4,MONTH(C5971)&lt;=6),2,IF(AND(MONTH(C5971)&gt;=7,MONTH(C5971)&lt;=9),3,4))))</f>
        <v>4</v>
      </c>
      <c r="D5972" s="36"/>
      <c r="E5972" s="7" t="s">
        <v>37</v>
      </c>
      <c r="F5972" s="6"/>
    </row>
    <row r="5973" spans="1:6" ht="15.75" thickBot="1" x14ac:dyDescent="0.3">
      <c r="A5973" s="36"/>
      <c r="B5973" s="7" t="s">
        <v>39</v>
      </c>
      <c r="C5973" s="15">
        <v>45656</v>
      </c>
      <c r="D5973" s="36"/>
      <c r="E5973" s="7" t="s">
        <v>40</v>
      </c>
      <c r="F5973" s="6"/>
    </row>
    <row r="5974" spans="1:6" ht="15.75" thickBot="1" x14ac:dyDescent="0.3">
      <c r="A5974" s="36"/>
      <c r="B5974" s="7" t="s">
        <v>36</v>
      </c>
      <c r="C5974" s="5">
        <f>IF(C5973="","",IF(AND(MONTH(C5973)&gt;=1,MONTH(C5973)&lt;=3),1,IF(AND(MONTH(C5973)&gt;=4,MONTH(C5973)&lt;=6),2,IF(AND(MONTH(C5973)&gt;=7,MONTH(C5973)&lt;=9),3,4))))</f>
        <v>4</v>
      </c>
      <c r="D5974" s="36"/>
      <c r="E5974" s="7" t="s">
        <v>41</v>
      </c>
      <c r="F5974" s="6"/>
    </row>
    <row r="5975" spans="1:6" ht="15.75" thickBot="1" x14ac:dyDescent="0.3">
      <c r="A5975" s="40"/>
      <c r="B5975" s="40"/>
      <c r="C5975" s="40"/>
      <c r="D5975" s="40"/>
      <c r="E5975" s="40"/>
      <c r="F5975" s="40"/>
    </row>
    <row r="5976" spans="1:6" ht="15.75" thickBot="1" x14ac:dyDescent="0.3">
      <c r="A5976" s="12" t="s">
        <v>42</v>
      </c>
      <c r="B5976" s="12" t="s">
        <v>43</v>
      </c>
      <c r="C5976" s="12" t="s">
        <v>44</v>
      </c>
      <c r="D5976" s="12" t="s">
        <v>45</v>
      </c>
      <c r="E5976" s="12" t="s">
        <v>46</v>
      </c>
      <c r="F5976" s="12" t="s">
        <v>47</v>
      </c>
    </row>
    <row r="5977" spans="1:6" x14ac:dyDescent="0.25">
      <c r="A5977" s="41">
        <v>44122011</v>
      </c>
      <c r="B5977" s="9" t="str">
        <f ca="1">IFERROR(INDEX(UNSPSCDes,MATCH(INDIRECT(ADDRESS(ROW(),COLUMN()-1,4)),UNSPSCCode,0)),"")</f>
        <v>Folders</v>
      </c>
      <c r="C5977" s="8" t="s">
        <v>49</v>
      </c>
      <c r="D5977" s="8">
        <v>500</v>
      </c>
      <c r="E5977" s="11">
        <v>228.81</v>
      </c>
      <c r="F5977" s="10">
        <f ca="1">INDIRECT(ADDRESS(ROW(),COLUMN()-2,4))*INDIRECT(ADDRESS(ROW(),COLUMN()-1,4))</f>
        <v>114405</v>
      </c>
    </row>
    <row r="5978" spans="1:6" x14ac:dyDescent="0.25">
      <c r="A5978" s="40"/>
      <c r="B5978" s="40"/>
      <c r="C5978" s="40"/>
      <c r="D5978" s="40"/>
      <c r="E5978" s="13" t="s">
        <v>87</v>
      </c>
      <c r="F5978" s="14">
        <f ca="1">SUM(Table376246[MONTO TOTAL ESTIMADO])</f>
        <v>114405</v>
      </c>
    </row>
    <row r="5979" spans="1:6" ht="15.75" thickBot="1" x14ac:dyDescent="0.3">
      <c r="A5979" s="42"/>
      <c r="B5979" s="42"/>
      <c r="C5979" s="42"/>
      <c r="D5979" s="42"/>
      <c r="E5979" s="42"/>
      <c r="F5979" s="42"/>
    </row>
    <row r="5980" spans="1:6" ht="23.25" thickBot="1" x14ac:dyDescent="0.3">
      <c r="A5980" s="4" t="s">
        <v>19</v>
      </c>
      <c r="B5980" s="4" t="s">
        <v>20</v>
      </c>
      <c r="C5980" s="4" t="s">
        <v>21</v>
      </c>
      <c r="D5980" s="4" t="s">
        <v>22</v>
      </c>
      <c r="E5980" s="4" t="s">
        <v>23</v>
      </c>
      <c r="F5980" s="4" t="s">
        <v>24</v>
      </c>
    </row>
    <row r="5981" spans="1:6" ht="15.75" thickBot="1" x14ac:dyDescent="0.3">
      <c r="A5981" s="32" t="s">
        <v>304</v>
      </c>
      <c r="B5981" s="32" t="s">
        <v>305</v>
      </c>
      <c r="C5981" s="32" t="s">
        <v>27</v>
      </c>
      <c r="D5981" s="6" t="s">
        <v>188</v>
      </c>
      <c r="E5981" s="32" t="s">
        <v>262</v>
      </c>
      <c r="F5981" s="6"/>
    </row>
    <row r="5982" spans="1:6" ht="15.75" thickBot="1" x14ac:dyDescent="0.3">
      <c r="A5982" s="35" t="s">
        <v>31</v>
      </c>
      <c r="B5982" s="7" t="s">
        <v>32</v>
      </c>
      <c r="C5982" s="15">
        <v>45566</v>
      </c>
      <c r="D5982" s="35" t="s">
        <v>33</v>
      </c>
      <c r="E5982" s="7" t="s">
        <v>34</v>
      </c>
      <c r="F5982" s="6"/>
    </row>
    <row r="5983" spans="1:6" ht="15.75" thickBot="1" x14ac:dyDescent="0.3">
      <c r="A5983" s="36"/>
      <c r="B5983" s="7" t="s">
        <v>36</v>
      </c>
      <c r="C5983" s="5">
        <f>IF(C5982="","",IF(AND(MONTH(C5982)&gt;=1,MONTH(C5982)&lt;=3),1,IF(AND(MONTH(C5982)&gt;=4,MONTH(C5982)&lt;=6),2,IF(AND(MONTH(C5982)&gt;=7,MONTH(C5982)&lt;=9),3,4))))</f>
        <v>4</v>
      </c>
      <c r="D5983" s="36"/>
      <c r="E5983" s="7" t="s">
        <v>37</v>
      </c>
      <c r="F5983" s="6"/>
    </row>
    <row r="5984" spans="1:6" ht="15.75" thickBot="1" x14ac:dyDescent="0.3">
      <c r="A5984" s="36"/>
      <c r="B5984" s="7" t="s">
        <v>39</v>
      </c>
      <c r="C5984" s="15">
        <v>45656</v>
      </c>
      <c r="D5984" s="36"/>
      <c r="E5984" s="7" t="s">
        <v>40</v>
      </c>
      <c r="F5984" s="6"/>
    </row>
    <row r="5985" spans="1:6" ht="15.75" thickBot="1" x14ac:dyDescent="0.3">
      <c r="A5985" s="36"/>
      <c r="B5985" s="7" t="s">
        <v>36</v>
      </c>
      <c r="C5985" s="5">
        <f>IF(C5984="","",IF(AND(MONTH(C5984)&gt;=1,MONTH(C5984)&lt;=3),1,IF(AND(MONTH(C5984)&gt;=4,MONTH(C5984)&lt;=6),2,IF(AND(MONTH(C5984)&gt;=7,MONTH(C5984)&lt;=9),3,4))))</f>
        <v>4</v>
      </c>
      <c r="D5985" s="36"/>
      <c r="E5985" s="7" t="s">
        <v>41</v>
      </c>
      <c r="F5985" s="6"/>
    </row>
    <row r="5986" spans="1:6" ht="15.75" thickBot="1" x14ac:dyDescent="0.3">
      <c r="A5986" s="40"/>
      <c r="B5986" s="40"/>
      <c r="C5986" s="40"/>
      <c r="D5986" s="40"/>
      <c r="E5986" s="40"/>
      <c r="F5986" s="40"/>
    </row>
    <row r="5987" spans="1:6" ht="15.75" thickBot="1" x14ac:dyDescent="0.3">
      <c r="A5987" s="12" t="s">
        <v>42</v>
      </c>
      <c r="B5987" s="12" t="s">
        <v>43</v>
      </c>
      <c r="C5987" s="12" t="s">
        <v>44</v>
      </c>
      <c r="D5987" s="12" t="s">
        <v>45</v>
      </c>
      <c r="E5987" s="12" t="s">
        <v>46</v>
      </c>
      <c r="F5987" s="12" t="s">
        <v>47</v>
      </c>
    </row>
    <row r="5988" spans="1:6" x14ac:dyDescent="0.25">
      <c r="A5988" s="8">
        <v>52131501</v>
      </c>
      <c r="B5988" s="9" t="str">
        <f ca="1">IFERROR(INDEX(UNSPSCDes,MATCH(INDIRECT(ADDRESS(ROW(),COLUMN()-1,4)),UNSPSCCode,0)),"")</f>
        <v>Cortinas</v>
      </c>
      <c r="C5988" s="8" t="s">
        <v>55</v>
      </c>
      <c r="D5988" s="8">
        <v>1</v>
      </c>
      <c r="E5988" s="11">
        <v>16800</v>
      </c>
      <c r="F5988" s="10">
        <f ca="1">INDIRECT(ADDRESS(ROW(),COLUMN()-2,4))*INDIRECT(ADDRESS(ROW(),COLUMN()-1,4))</f>
        <v>16800</v>
      </c>
    </row>
    <row r="5989" spans="1:6" x14ac:dyDescent="0.25">
      <c r="A5989" s="40"/>
      <c r="B5989" s="40"/>
      <c r="C5989" s="40"/>
      <c r="D5989" s="40"/>
      <c r="E5989" s="13" t="s">
        <v>87</v>
      </c>
      <c r="F5989" s="14">
        <f ca="1">SUM(Table377247[MONTO TOTAL ESTIMADO])</f>
        <v>16800</v>
      </c>
    </row>
    <row r="5990" spans="1:6" ht="15.75" thickBot="1" x14ac:dyDescent="0.3">
      <c r="A5990" s="42"/>
      <c r="B5990" s="42"/>
      <c r="C5990" s="42"/>
      <c r="D5990" s="42"/>
      <c r="E5990" s="42"/>
      <c r="F5990" s="42"/>
    </row>
    <row r="5991" spans="1:6" ht="23.25" thickBot="1" x14ac:dyDescent="0.3">
      <c r="A5991" s="4" t="s">
        <v>19</v>
      </c>
      <c r="B5991" s="4" t="s">
        <v>20</v>
      </c>
      <c r="C5991" s="4" t="s">
        <v>21</v>
      </c>
      <c r="D5991" s="4" t="s">
        <v>22</v>
      </c>
      <c r="E5991" s="4" t="s">
        <v>23</v>
      </c>
      <c r="F5991" s="4" t="s">
        <v>24</v>
      </c>
    </row>
    <row r="5992" spans="1:6" ht="15.75" thickBot="1" x14ac:dyDescent="0.3">
      <c r="A5992" s="32" t="s">
        <v>307</v>
      </c>
      <c r="B5992" s="32" t="s">
        <v>308</v>
      </c>
      <c r="C5992" s="32" t="s">
        <v>27</v>
      </c>
      <c r="D5992" s="6" t="s">
        <v>28</v>
      </c>
      <c r="E5992" s="32" t="s">
        <v>262</v>
      </c>
      <c r="F5992" s="6"/>
    </row>
    <row r="5993" spans="1:6" ht="15.75" thickBot="1" x14ac:dyDescent="0.3">
      <c r="A5993" s="35" t="s">
        <v>31</v>
      </c>
      <c r="B5993" s="7" t="s">
        <v>32</v>
      </c>
      <c r="C5993" s="15">
        <v>45566</v>
      </c>
      <c r="D5993" s="35" t="s">
        <v>33</v>
      </c>
      <c r="E5993" s="7" t="s">
        <v>34</v>
      </c>
      <c r="F5993" s="6"/>
    </row>
    <row r="5994" spans="1:6" ht="15.75" thickBot="1" x14ac:dyDescent="0.3">
      <c r="A5994" s="36"/>
      <c r="B5994" s="7" t="s">
        <v>36</v>
      </c>
      <c r="C5994" s="5">
        <f>IF(C5993="","",IF(AND(MONTH(C5993)&gt;=1,MONTH(C5993)&lt;=3),1,IF(AND(MONTH(C5993)&gt;=4,MONTH(C5993)&lt;=6),2,IF(AND(MONTH(C5993)&gt;=7,MONTH(C5993)&lt;=9),3,4))))</f>
        <v>4</v>
      </c>
      <c r="D5994" s="36"/>
      <c r="E5994" s="7" t="s">
        <v>37</v>
      </c>
      <c r="F5994" s="6"/>
    </row>
    <row r="5995" spans="1:6" ht="15.75" thickBot="1" x14ac:dyDescent="0.3">
      <c r="A5995" s="36"/>
      <c r="B5995" s="7" t="s">
        <v>39</v>
      </c>
      <c r="C5995" s="15">
        <v>45656</v>
      </c>
      <c r="D5995" s="36"/>
      <c r="E5995" s="7" t="s">
        <v>40</v>
      </c>
      <c r="F5995" s="6"/>
    </row>
    <row r="5996" spans="1:6" ht="15.75" thickBot="1" x14ac:dyDescent="0.3">
      <c r="A5996" s="36"/>
      <c r="B5996" s="7" t="s">
        <v>36</v>
      </c>
      <c r="C5996" s="5">
        <f>IF(C5995="","",IF(AND(MONTH(C5995)&gt;=1,MONTH(C5995)&lt;=3),1,IF(AND(MONTH(C5995)&gt;=4,MONTH(C5995)&lt;=6),2,IF(AND(MONTH(C5995)&gt;=7,MONTH(C5995)&lt;=9),3,4))))</f>
        <v>4</v>
      </c>
      <c r="D5996" s="36"/>
      <c r="E5996" s="7" t="s">
        <v>41</v>
      </c>
      <c r="F5996" s="6"/>
    </row>
    <row r="5997" spans="1:6" ht="15.75" thickBot="1" x14ac:dyDescent="0.3">
      <c r="A5997" s="40"/>
      <c r="B5997" s="40"/>
      <c r="C5997" s="40"/>
      <c r="D5997" s="40"/>
      <c r="E5997" s="40"/>
      <c r="F5997" s="40"/>
    </row>
    <row r="5998" spans="1:6" ht="15.75" thickBot="1" x14ac:dyDescent="0.3">
      <c r="A5998" s="12" t="s">
        <v>42</v>
      </c>
      <c r="B5998" s="12" t="s">
        <v>43</v>
      </c>
      <c r="C5998" s="12" t="s">
        <v>44</v>
      </c>
      <c r="D5998" s="12" t="s">
        <v>45</v>
      </c>
      <c r="E5998" s="12" t="s">
        <v>46</v>
      </c>
      <c r="F5998" s="12" t="s">
        <v>47</v>
      </c>
    </row>
    <row r="5999" spans="1:6" x14ac:dyDescent="0.25">
      <c r="A5999" s="8">
        <v>52151504</v>
      </c>
      <c r="B5999" s="9" t="str">
        <f t="shared" ref="B5999:B6006" ca="1" si="121">IFERROR(INDEX(UNSPSCDes,MATCH(INDIRECT(ADDRESS(ROW(),COLUMN()-1,4)),UNSPSCCode,0)),"")</f>
        <v>Tazas o vasos o tapas desechables para uso doméstico</v>
      </c>
      <c r="C5999" s="8" t="s">
        <v>74</v>
      </c>
      <c r="D5999" s="8">
        <v>200</v>
      </c>
      <c r="E5999" s="11">
        <v>177.97</v>
      </c>
      <c r="F5999" s="10">
        <f t="shared" ref="F5999:F6006" ca="1" si="122">INDIRECT(ADDRESS(ROW(),COLUMN()-2,4))*INDIRECT(ADDRESS(ROW(),COLUMN()-1,4))</f>
        <v>35594</v>
      </c>
    </row>
    <row r="6000" spans="1:6" x14ac:dyDescent="0.25">
      <c r="A6000" s="8">
        <v>52151504</v>
      </c>
      <c r="B6000" s="9" t="str">
        <f t="shared" ca="1" si="121"/>
        <v>Tazas o vasos o tapas desechables para uso doméstico</v>
      </c>
      <c r="C6000" s="33" t="s">
        <v>74</v>
      </c>
      <c r="D6000" s="8">
        <v>1300</v>
      </c>
      <c r="E6000" s="11">
        <v>122.03</v>
      </c>
      <c r="F6000" s="10">
        <f t="shared" ca="1" si="122"/>
        <v>158639</v>
      </c>
    </row>
    <row r="6001" spans="1:6" x14ac:dyDescent="0.25">
      <c r="A6001" s="8">
        <v>52151504</v>
      </c>
      <c r="B6001" s="9" t="str">
        <f t="shared" ca="1" si="121"/>
        <v>Tazas o vasos o tapas desechables para uso doméstico</v>
      </c>
      <c r="C6001" s="33" t="s">
        <v>74</v>
      </c>
      <c r="D6001" s="8">
        <v>1200</v>
      </c>
      <c r="E6001" s="11">
        <v>142.37</v>
      </c>
      <c r="F6001" s="10">
        <f t="shared" ca="1" si="122"/>
        <v>170844</v>
      </c>
    </row>
    <row r="6002" spans="1:6" x14ac:dyDescent="0.25">
      <c r="A6002" s="8">
        <v>52151504</v>
      </c>
      <c r="B6002" s="9" t="str">
        <f t="shared" ca="1" si="121"/>
        <v>Tazas o vasos o tapas desechables para uso doméstico</v>
      </c>
      <c r="C6002" s="33" t="s">
        <v>74</v>
      </c>
      <c r="D6002" s="8">
        <v>100</v>
      </c>
      <c r="E6002" s="11">
        <v>162.71</v>
      </c>
      <c r="F6002" s="10">
        <f t="shared" ca="1" si="122"/>
        <v>16271</v>
      </c>
    </row>
    <row r="6003" spans="1:6" x14ac:dyDescent="0.25">
      <c r="A6003" s="8">
        <v>52151502</v>
      </c>
      <c r="B6003" s="9" t="str">
        <f t="shared" ca="1" si="121"/>
        <v>Platos desechables para uso doméstico</v>
      </c>
      <c r="C6003" s="33" t="s">
        <v>74</v>
      </c>
      <c r="D6003" s="8">
        <v>400</v>
      </c>
      <c r="E6003" s="11">
        <v>86.44</v>
      </c>
      <c r="F6003" s="10">
        <f t="shared" ca="1" si="122"/>
        <v>34576</v>
      </c>
    </row>
    <row r="6004" spans="1:6" x14ac:dyDescent="0.25">
      <c r="A6004" s="8">
        <v>52151502</v>
      </c>
      <c r="B6004" s="9" t="str">
        <f t="shared" ca="1" si="121"/>
        <v>Platos desechables para uso doméstico</v>
      </c>
      <c r="C6004" s="33" t="s">
        <v>74</v>
      </c>
      <c r="D6004" s="8">
        <v>800</v>
      </c>
      <c r="E6004" s="11">
        <v>122.03</v>
      </c>
      <c r="F6004" s="10">
        <f t="shared" ca="1" si="122"/>
        <v>97624</v>
      </c>
    </row>
    <row r="6005" spans="1:6" x14ac:dyDescent="0.25">
      <c r="A6005" s="8">
        <v>52151503</v>
      </c>
      <c r="B6005" s="9" t="str">
        <f t="shared" ca="1" si="121"/>
        <v>Cubiertos desechables para uso doméstico</v>
      </c>
      <c r="C6005" s="33" t="s">
        <v>74</v>
      </c>
      <c r="D6005" s="8">
        <v>1500</v>
      </c>
      <c r="E6005" s="11">
        <v>76.27</v>
      </c>
      <c r="F6005" s="10">
        <f t="shared" ca="1" si="122"/>
        <v>114405</v>
      </c>
    </row>
    <row r="6006" spans="1:6" x14ac:dyDescent="0.25">
      <c r="A6006" s="8">
        <v>52151503</v>
      </c>
      <c r="B6006" s="9" t="str">
        <f t="shared" ca="1" si="121"/>
        <v>Cubiertos desechables para uso doméstico</v>
      </c>
      <c r="C6006" s="33" t="s">
        <v>74</v>
      </c>
      <c r="D6006" s="8">
        <v>1500</v>
      </c>
      <c r="E6006" s="11">
        <v>76.27</v>
      </c>
      <c r="F6006" s="10">
        <f t="shared" ca="1" si="122"/>
        <v>114405</v>
      </c>
    </row>
    <row r="6007" spans="1:6" x14ac:dyDescent="0.25">
      <c r="A6007" s="40"/>
      <c r="B6007" s="40"/>
      <c r="C6007" s="40"/>
      <c r="D6007" s="40"/>
      <c r="E6007" s="13" t="s">
        <v>87</v>
      </c>
      <c r="F6007" s="14">
        <f ca="1">SUM(Table378248[MONTO TOTAL ESTIMADO])</f>
        <v>742358</v>
      </c>
    </row>
    <row r="6008" spans="1:6" ht="15.75" thickBot="1" x14ac:dyDescent="0.3">
      <c r="A6008" s="42"/>
      <c r="B6008" s="42"/>
      <c r="C6008" s="42"/>
      <c r="D6008" s="42"/>
      <c r="E6008" s="42"/>
      <c r="F6008" s="42"/>
    </row>
    <row r="6009" spans="1:6" ht="23.25" thickBot="1" x14ac:dyDescent="0.3">
      <c r="A6009" s="4" t="s">
        <v>19</v>
      </c>
      <c r="B6009" s="4" t="s">
        <v>20</v>
      </c>
      <c r="C6009" s="4" t="s">
        <v>21</v>
      </c>
      <c r="D6009" s="4" t="s">
        <v>22</v>
      </c>
      <c r="E6009" s="4" t="s">
        <v>23</v>
      </c>
      <c r="F6009" s="4" t="s">
        <v>24</v>
      </c>
    </row>
    <row r="6010" spans="1:6" ht="15.75" thickBot="1" x14ac:dyDescent="0.3">
      <c r="A6010" s="32" t="s">
        <v>310</v>
      </c>
      <c r="B6010" s="32" t="s">
        <v>311</v>
      </c>
      <c r="C6010" s="6" t="s">
        <v>27</v>
      </c>
      <c r="D6010" s="6" t="s">
        <v>188</v>
      </c>
      <c r="E6010" s="32" t="s">
        <v>262</v>
      </c>
      <c r="F6010" s="6"/>
    </row>
    <row r="6011" spans="1:6" ht="15.75" thickBot="1" x14ac:dyDescent="0.3">
      <c r="A6011" s="35" t="s">
        <v>31</v>
      </c>
      <c r="B6011" s="7" t="s">
        <v>32</v>
      </c>
      <c r="C6011" s="15">
        <v>45566</v>
      </c>
      <c r="D6011" s="35" t="s">
        <v>33</v>
      </c>
      <c r="E6011" s="7" t="s">
        <v>34</v>
      </c>
      <c r="F6011" s="6"/>
    </row>
    <row r="6012" spans="1:6" ht="15.75" thickBot="1" x14ac:dyDescent="0.3">
      <c r="A6012" s="36"/>
      <c r="B6012" s="7" t="s">
        <v>36</v>
      </c>
      <c r="C6012" s="5">
        <f>IF(C6011="","",IF(AND(MONTH(C6011)&gt;=1,MONTH(C6011)&lt;=3),1,IF(AND(MONTH(C6011)&gt;=4,MONTH(C6011)&lt;=6),2,IF(AND(MONTH(C6011)&gt;=7,MONTH(C6011)&lt;=9),3,4))))</f>
        <v>4</v>
      </c>
      <c r="D6012" s="36"/>
      <c r="E6012" s="7" t="s">
        <v>37</v>
      </c>
      <c r="F6012" s="6"/>
    </row>
    <row r="6013" spans="1:6" ht="15.75" thickBot="1" x14ac:dyDescent="0.3">
      <c r="A6013" s="36"/>
      <c r="B6013" s="7" t="s">
        <v>39</v>
      </c>
      <c r="C6013" s="15">
        <v>45656</v>
      </c>
      <c r="D6013" s="36"/>
      <c r="E6013" s="7" t="s">
        <v>40</v>
      </c>
      <c r="F6013" s="6"/>
    </row>
    <row r="6014" spans="1:6" ht="15.75" thickBot="1" x14ac:dyDescent="0.3">
      <c r="A6014" s="36"/>
      <c r="B6014" s="7" t="s">
        <v>36</v>
      </c>
      <c r="C6014" s="5">
        <f>IF(C6013="","",IF(AND(MONTH(C6013)&gt;=1,MONTH(C6013)&lt;=3),1,IF(AND(MONTH(C6013)&gt;=4,MONTH(C6013)&lt;=6),2,IF(AND(MONTH(C6013)&gt;=7,MONTH(C6013)&lt;=9),3,4))))</f>
        <v>4</v>
      </c>
      <c r="D6014" s="36"/>
      <c r="E6014" s="7" t="s">
        <v>41</v>
      </c>
      <c r="F6014" s="6"/>
    </row>
    <row r="6015" spans="1:6" ht="15.75" thickBot="1" x14ac:dyDescent="0.3">
      <c r="A6015" s="40"/>
      <c r="B6015" s="40"/>
      <c r="C6015" s="40"/>
      <c r="D6015" s="40"/>
      <c r="E6015" s="40"/>
      <c r="F6015" s="40"/>
    </row>
    <row r="6016" spans="1:6" ht="15.75" thickBot="1" x14ac:dyDescent="0.3">
      <c r="A6016" s="12" t="s">
        <v>42</v>
      </c>
      <c r="B6016" s="12" t="s">
        <v>43</v>
      </c>
      <c r="C6016" s="12" t="s">
        <v>44</v>
      </c>
      <c r="D6016" s="12" t="s">
        <v>45</v>
      </c>
      <c r="E6016" s="12" t="s">
        <v>46</v>
      </c>
      <c r="F6016" s="12" t="s">
        <v>47</v>
      </c>
    </row>
    <row r="6017" spans="1:6" x14ac:dyDescent="0.25">
      <c r="A6017" s="8">
        <v>45111501</v>
      </c>
      <c r="B6017" s="9" t="str">
        <f ca="1">IFERROR(INDEX(UNSPSCDes,MATCH(INDIRECT(ADDRESS(ROW(),COLUMN()-1,4)),UNSPSCCode,0)),"")</f>
        <v>Atriles autónomos</v>
      </c>
      <c r="C6017" s="33" t="s">
        <v>55</v>
      </c>
      <c r="D6017" s="8">
        <v>12</v>
      </c>
      <c r="E6017" s="11">
        <v>9800</v>
      </c>
      <c r="F6017" s="10">
        <f ca="1">INDIRECT(ADDRESS(ROW(),COLUMN()-2,4))*INDIRECT(ADDRESS(ROW(),COLUMN()-1,4))</f>
        <v>117600</v>
      </c>
    </row>
    <row r="6018" spans="1:6" x14ac:dyDescent="0.25">
      <c r="A6018" s="40"/>
      <c r="B6018" s="40"/>
      <c r="C6018" s="40"/>
      <c r="D6018" s="40"/>
      <c r="E6018" s="13" t="s">
        <v>87</v>
      </c>
      <c r="F6018" s="14">
        <f ca="1">SUM(Table379249[MONTO TOTAL ESTIMADO])</f>
        <v>117600</v>
      </c>
    </row>
    <row r="6019" spans="1:6" ht="15.75" thickBot="1" x14ac:dyDescent="0.3">
      <c r="A6019" s="42"/>
      <c r="B6019" s="42"/>
      <c r="C6019" s="42"/>
      <c r="D6019" s="42"/>
      <c r="E6019" s="42"/>
      <c r="F6019" s="42"/>
    </row>
    <row r="6020" spans="1:6" ht="23.25" thickBot="1" x14ac:dyDescent="0.3">
      <c r="A6020" s="4" t="s">
        <v>19</v>
      </c>
      <c r="B6020" s="4" t="s">
        <v>20</v>
      </c>
      <c r="C6020" s="4" t="s">
        <v>21</v>
      </c>
      <c r="D6020" s="4" t="s">
        <v>22</v>
      </c>
      <c r="E6020" s="4" t="s">
        <v>23</v>
      </c>
      <c r="F6020" s="4" t="s">
        <v>24</v>
      </c>
    </row>
    <row r="6021" spans="1:6" ht="15.75" thickBot="1" x14ac:dyDescent="0.3">
      <c r="A6021" s="32" t="s">
        <v>313</v>
      </c>
      <c r="B6021" s="32" t="s">
        <v>314</v>
      </c>
      <c r="C6021" s="32" t="s">
        <v>129</v>
      </c>
      <c r="D6021" s="6" t="s">
        <v>28</v>
      </c>
      <c r="E6021" s="32" t="s">
        <v>29</v>
      </c>
      <c r="F6021" s="6"/>
    </row>
    <row r="6022" spans="1:6" ht="15.75" thickBot="1" x14ac:dyDescent="0.3">
      <c r="A6022" s="35" t="s">
        <v>31</v>
      </c>
      <c r="B6022" s="7" t="s">
        <v>32</v>
      </c>
      <c r="C6022" s="15">
        <v>45566</v>
      </c>
      <c r="D6022" s="35" t="s">
        <v>33</v>
      </c>
      <c r="E6022" s="7" t="s">
        <v>34</v>
      </c>
      <c r="F6022" s="6"/>
    </row>
    <row r="6023" spans="1:6" ht="15.75" thickBot="1" x14ac:dyDescent="0.3">
      <c r="A6023" s="36"/>
      <c r="B6023" s="7" t="s">
        <v>36</v>
      </c>
      <c r="C6023" s="5">
        <f>IF(C6022="","",IF(AND(MONTH(C6022)&gt;=1,MONTH(C6022)&lt;=3),1,IF(AND(MONTH(C6022)&gt;=4,MONTH(C6022)&lt;=6),2,IF(AND(MONTH(C6022)&gt;=7,MONTH(C6022)&lt;=9),3,4))))</f>
        <v>4</v>
      </c>
      <c r="D6023" s="36"/>
      <c r="E6023" s="7" t="s">
        <v>37</v>
      </c>
      <c r="F6023" s="6"/>
    </row>
    <row r="6024" spans="1:6" ht="15.75" thickBot="1" x14ac:dyDescent="0.3">
      <c r="A6024" s="36"/>
      <c r="B6024" s="7" t="s">
        <v>39</v>
      </c>
      <c r="C6024" s="15">
        <v>45656</v>
      </c>
      <c r="D6024" s="36"/>
      <c r="E6024" s="7" t="s">
        <v>40</v>
      </c>
      <c r="F6024" s="6"/>
    </row>
    <row r="6025" spans="1:6" ht="15.75" thickBot="1" x14ac:dyDescent="0.3">
      <c r="A6025" s="36"/>
      <c r="B6025" s="7" t="s">
        <v>36</v>
      </c>
      <c r="C6025" s="5">
        <f>IF(C6024="","",IF(AND(MONTH(C6024)&gt;=1,MONTH(C6024)&lt;=3),1,IF(AND(MONTH(C6024)&gt;=4,MONTH(C6024)&lt;=6),2,IF(AND(MONTH(C6024)&gt;=7,MONTH(C6024)&lt;=9),3,4))))</f>
        <v>4</v>
      </c>
      <c r="D6025" s="36"/>
      <c r="E6025" s="7" t="s">
        <v>41</v>
      </c>
      <c r="F6025" s="6"/>
    </row>
    <row r="6026" spans="1:6" ht="15.75" thickBot="1" x14ac:dyDescent="0.3">
      <c r="A6026" s="40"/>
      <c r="B6026" s="40"/>
      <c r="C6026" s="40"/>
      <c r="D6026" s="40"/>
      <c r="E6026" s="40"/>
      <c r="F6026" s="40"/>
    </row>
    <row r="6027" spans="1:6" ht="15.75" thickBot="1" x14ac:dyDescent="0.3">
      <c r="A6027" s="12" t="s">
        <v>42</v>
      </c>
      <c r="B6027" s="12" t="s">
        <v>43</v>
      </c>
      <c r="C6027" s="12" t="s">
        <v>44</v>
      </c>
      <c r="D6027" s="12" t="s">
        <v>45</v>
      </c>
      <c r="E6027" s="12" t="s">
        <v>46</v>
      </c>
      <c r="F6027" s="12" t="s">
        <v>47</v>
      </c>
    </row>
    <row r="6028" spans="1:6" x14ac:dyDescent="0.25">
      <c r="A6028" s="8">
        <v>86101701</v>
      </c>
      <c r="B6028" s="9" t="str">
        <f ca="1">IFERROR(INDEX(UNSPSCDes,MATCH(INDIRECT(ADDRESS(ROW(),COLUMN()-1,4)),UNSPSCCode,0)),"")</f>
        <v>Servicios de formación profesional en comunicaciones</v>
      </c>
      <c r="C6028" s="8" t="s">
        <v>55</v>
      </c>
      <c r="D6028" s="8">
        <v>1</v>
      </c>
      <c r="E6028" s="11">
        <v>750000</v>
      </c>
      <c r="F6028" s="10">
        <f ca="1">INDIRECT(ADDRESS(ROW(),COLUMN()-2,4))*INDIRECT(ADDRESS(ROW(),COLUMN()-1,4))</f>
        <v>750000</v>
      </c>
    </row>
    <row r="6029" spans="1:6" x14ac:dyDescent="0.25">
      <c r="A6029" s="40"/>
      <c r="B6029" s="40"/>
      <c r="C6029" s="40"/>
      <c r="D6029" s="40"/>
      <c r="E6029" s="13" t="s">
        <v>87</v>
      </c>
      <c r="F6029" s="14">
        <f ca="1">SUM(Table380250[MONTO TOTAL ESTIMADO])</f>
        <v>750000</v>
      </c>
    </row>
    <row r="6030" spans="1:6" ht="15.75" thickBot="1" x14ac:dyDescent="0.3">
      <c r="A6030" s="42"/>
      <c r="B6030" s="42"/>
      <c r="C6030" s="42"/>
      <c r="D6030" s="42"/>
      <c r="E6030" s="42"/>
      <c r="F6030" s="42"/>
    </row>
    <row r="6031" spans="1:6" ht="23.25" thickBot="1" x14ac:dyDescent="0.3">
      <c r="A6031" s="4" t="s">
        <v>19</v>
      </c>
      <c r="B6031" s="4" t="s">
        <v>20</v>
      </c>
      <c r="C6031" s="4" t="s">
        <v>21</v>
      </c>
      <c r="D6031" s="4" t="s">
        <v>22</v>
      </c>
      <c r="E6031" s="4" t="s">
        <v>23</v>
      </c>
      <c r="F6031" s="4" t="s">
        <v>24</v>
      </c>
    </row>
    <row r="6032" spans="1:6" ht="15.75" thickBot="1" x14ac:dyDescent="0.3">
      <c r="A6032" s="32" t="s">
        <v>316</v>
      </c>
      <c r="B6032" s="32" t="s">
        <v>317</v>
      </c>
      <c r="C6032" s="32" t="s">
        <v>129</v>
      </c>
      <c r="D6032" s="6" t="s">
        <v>28</v>
      </c>
      <c r="E6032" s="6" t="s">
        <v>262</v>
      </c>
      <c r="F6032" s="6"/>
    </row>
    <row r="6033" spans="1:6" ht="15.75" thickBot="1" x14ac:dyDescent="0.3">
      <c r="A6033" s="35" t="s">
        <v>31</v>
      </c>
      <c r="B6033" s="7" t="s">
        <v>32</v>
      </c>
      <c r="C6033" s="15">
        <v>45566</v>
      </c>
      <c r="D6033" s="35" t="s">
        <v>33</v>
      </c>
      <c r="E6033" s="7" t="s">
        <v>34</v>
      </c>
      <c r="F6033" s="6"/>
    </row>
    <row r="6034" spans="1:6" ht="15.75" thickBot="1" x14ac:dyDescent="0.3">
      <c r="A6034" s="36"/>
      <c r="B6034" s="7" t="s">
        <v>36</v>
      </c>
      <c r="C6034" s="5">
        <f>IF(C6033="","",IF(AND(MONTH(C6033)&gt;=1,MONTH(C6033)&lt;=3),1,IF(AND(MONTH(C6033)&gt;=4,MONTH(C6033)&lt;=6),2,IF(AND(MONTH(C6033)&gt;=7,MONTH(C6033)&lt;=9),3,4))))</f>
        <v>4</v>
      </c>
      <c r="D6034" s="36"/>
      <c r="E6034" s="7" t="s">
        <v>37</v>
      </c>
      <c r="F6034" s="6"/>
    </row>
    <row r="6035" spans="1:6" ht="15.75" thickBot="1" x14ac:dyDescent="0.3">
      <c r="A6035" s="36"/>
      <c r="B6035" s="7" t="s">
        <v>39</v>
      </c>
      <c r="C6035" s="15">
        <v>45656</v>
      </c>
      <c r="D6035" s="36"/>
      <c r="E6035" s="7" t="s">
        <v>40</v>
      </c>
      <c r="F6035" s="6"/>
    </row>
    <row r="6036" spans="1:6" ht="15.75" thickBot="1" x14ac:dyDescent="0.3">
      <c r="A6036" s="36"/>
      <c r="B6036" s="7" t="s">
        <v>36</v>
      </c>
      <c r="C6036" s="5">
        <f>IF(C6035="","",IF(AND(MONTH(C6035)&gt;=1,MONTH(C6035)&lt;=3),1,IF(AND(MONTH(C6035)&gt;=4,MONTH(C6035)&lt;=6),2,IF(AND(MONTH(C6035)&gt;=7,MONTH(C6035)&lt;=9),3,4))))</f>
        <v>4</v>
      </c>
      <c r="D6036" s="36"/>
      <c r="E6036" s="7" t="s">
        <v>41</v>
      </c>
      <c r="F6036" s="6"/>
    </row>
    <row r="6037" spans="1:6" ht="15.75" thickBot="1" x14ac:dyDescent="0.3">
      <c r="A6037" s="40"/>
      <c r="B6037" s="40"/>
      <c r="C6037" s="40"/>
      <c r="D6037" s="40"/>
      <c r="E6037" s="40"/>
      <c r="F6037" s="40"/>
    </row>
    <row r="6038" spans="1:6" ht="15.75" thickBot="1" x14ac:dyDescent="0.3">
      <c r="A6038" s="12" t="s">
        <v>42</v>
      </c>
      <c r="B6038" s="12" t="s">
        <v>43</v>
      </c>
      <c r="C6038" s="12" t="s">
        <v>44</v>
      </c>
      <c r="D6038" s="12" t="s">
        <v>45</v>
      </c>
      <c r="E6038" s="12" t="s">
        <v>46</v>
      </c>
      <c r="F6038" s="12" t="s">
        <v>47</v>
      </c>
    </row>
    <row r="6039" spans="1:6" x14ac:dyDescent="0.25">
      <c r="A6039" s="8">
        <v>73151606</v>
      </c>
      <c r="B6039" s="9" t="str">
        <f ca="1">IFERROR(INDEX(UNSPSCDes,MATCH(INDIRECT(ADDRESS(ROW(),COLUMN()-1,4)),UNSPSCCode,0)),"")</f>
        <v>Servicios de empacado a mano</v>
      </c>
      <c r="C6039" s="8" t="s">
        <v>55</v>
      </c>
      <c r="D6039" s="8">
        <v>1</v>
      </c>
      <c r="E6039" s="11">
        <v>1215000</v>
      </c>
      <c r="F6039" s="10">
        <f ca="1">INDIRECT(ADDRESS(ROW(),COLUMN()-2,4))*INDIRECT(ADDRESS(ROW(),COLUMN()-1,4))</f>
        <v>1215000</v>
      </c>
    </row>
    <row r="6040" spans="1:6" x14ac:dyDescent="0.25">
      <c r="A6040" s="40"/>
      <c r="B6040" s="40"/>
      <c r="C6040" s="40"/>
      <c r="D6040" s="40"/>
      <c r="E6040" s="13" t="s">
        <v>87</v>
      </c>
      <c r="F6040" s="14">
        <f ca="1">SUM(Table381251[MONTO TOTAL ESTIMADO])</f>
        <v>1215000</v>
      </c>
    </row>
    <row r="6041" spans="1:6" ht="15.75" thickBot="1" x14ac:dyDescent="0.3">
      <c r="A6041" s="42"/>
      <c r="B6041" s="42"/>
      <c r="C6041" s="42"/>
      <c r="D6041" s="42"/>
      <c r="E6041" s="42"/>
      <c r="F6041" s="42"/>
    </row>
    <row r="6042" spans="1:6" ht="23.25" thickBot="1" x14ac:dyDescent="0.3">
      <c r="A6042" s="4" t="s">
        <v>19</v>
      </c>
      <c r="B6042" s="4" t="s">
        <v>20</v>
      </c>
      <c r="C6042" s="4" t="s">
        <v>21</v>
      </c>
      <c r="D6042" s="4" t="s">
        <v>22</v>
      </c>
      <c r="E6042" s="4" t="s">
        <v>23</v>
      </c>
      <c r="F6042" s="4" t="s">
        <v>24</v>
      </c>
    </row>
    <row r="6043" spans="1:6" ht="15.75" thickBot="1" x14ac:dyDescent="0.3">
      <c r="A6043" s="32" t="s">
        <v>319</v>
      </c>
      <c r="B6043" s="32" t="s">
        <v>320</v>
      </c>
      <c r="C6043" s="32" t="s">
        <v>27</v>
      </c>
      <c r="D6043" s="6" t="s">
        <v>188</v>
      </c>
      <c r="E6043" s="6" t="s">
        <v>262</v>
      </c>
      <c r="F6043" s="6"/>
    </row>
    <row r="6044" spans="1:6" ht="15.75" thickBot="1" x14ac:dyDescent="0.3">
      <c r="A6044" s="35" t="s">
        <v>31</v>
      </c>
      <c r="B6044" s="7" t="s">
        <v>32</v>
      </c>
      <c r="C6044" s="15">
        <v>45566</v>
      </c>
      <c r="D6044" s="35" t="s">
        <v>33</v>
      </c>
      <c r="E6044" s="7" t="s">
        <v>34</v>
      </c>
      <c r="F6044" s="6"/>
    </row>
    <row r="6045" spans="1:6" ht="15.75" thickBot="1" x14ac:dyDescent="0.3">
      <c r="A6045" s="36"/>
      <c r="B6045" s="7" t="s">
        <v>36</v>
      </c>
      <c r="C6045" s="5">
        <f>IF(C6044="","",IF(AND(MONTH(C6044)&gt;=1,MONTH(C6044)&lt;=3),1,IF(AND(MONTH(C6044)&gt;=4,MONTH(C6044)&lt;=6),2,IF(AND(MONTH(C6044)&gt;=7,MONTH(C6044)&lt;=9),3,4))))</f>
        <v>4</v>
      </c>
      <c r="D6045" s="36"/>
      <c r="E6045" s="7" t="s">
        <v>37</v>
      </c>
      <c r="F6045" s="6"/>
    </row>
    <row r="6046" spans="1:6" ht="15.75" thickBot="1" x14ac:dyDescent="0.3">
      <c r="A6046" s="36"/>
      <c r="B6046" s="7" t="s">
        <v>39</v>
      </c>
      <c r="C6046" s="15">
        <v>45656</v>
      </c>
      <c r="D6046" s="36"/>
      <c r="E6046" s="7" t="s">
        <v>40</v>
      </c>
      <c r="F6046" s="6"/>
    </row>
    <row r="6047" spans="1:6" ht="15.75" thickBot="1" x14ac:dyDescent="0.3">
      <c r="A6047" s="36"/>
      <c r="B6047" s="7" t="s">
        <v>36</v>
      </c>
      <c r="C6047" s="5">
        <f>IF(C6046="","",IF(AND(MONTH(C6046)&gt;=1,MONTH(C6046)&lt;=3),1,IF(AND(MONTH(C6046)&gt;=4,MONTH(C6046)&lt;=6),2,IF(AND(MONTH(C6046)&gt;=7,MONTH(C6046)&lt;=9),3,4))))</f>
        <v>4</v>
      </c>
      <c r="D6047" s="36"/>
      <c r="E6047" s="7" t="s">
        <v>41</v>
      </c>
      <c r="F6047" s="6"/>
    </row>
    <row r="6048" spans="1:6" ht="15.75" thickBot="1" x14ac:dyDescent="0.3">
      <c r="A6048" s="40"/>
      <c r="B6048" s="40"/>
      <c r="C6048" s="40"/>
      <c r="D6048" s="40"/>
      <c r="E6048" s="40"/>
      <c r="F6048" s="40"/>
    </row>
    <row r="6049" spans="1:6" ht="15.75" thickBot="1" x14ac:dyDescent="0.3">
      <c r="A6049" s="12" t="s">
        <v>42</v>
      </c>
      <c r="B6049" s="12" t="s">
        <v>43</v>
      </c>
      <c r="C6049" s="12" t="s">
        <v>44</v>
      </c>
      <c r="D6049" s="12" t="s">
        <v>45</v>
      </c>
      <c r="E6049" s="12" t="s">
        <v>46</v>
      </c>
      <c r="F6049" s="12" t="s">
        <v>47</v>
      </c>
    </row>
    <row r="6050" spans="1:6" x14ac:dyDescent="0.25">
      <c r="A6050" s="8">
        <v>52141526</v>
      </c>
      <c r="B6050" s="9" t="str">
        <f ca="1">IFERROR(INDEX(UNSPSCDes,MATCH(INDIRECT(ADDRESS(ROW(),COLUMN()-1,4)),UNSPSCCode,0)),"")</f>
        <v>Cafeteras para uso doméstico</v>
      </c>
      <c r="C6050" s="33" t="s">
        <v>55</v>
      </c>
      <c r="D6050" s="8">
        <v>4</v>
      </c>
      <c r="E6050" s="11">
        <v>29500</v>
      </c>
      <c r="F6050" s="10">
        <f ca="1">INDIRECT(ADDRESS(ROW(),COLUMN()-2,4))*INDIRECT(ADDRESS(ROW(),COLUMN()-1,4))</f>
        <v>118000</v>
      </c>
    </row>
    <row r="6051" spans="1:6" x14ac:dyDescent="0.25">
      <c r="A6051" s="40"/>
      <c r="B6051" s="40"/>
      <c r="C6051" s="40"/>
      <c r="D6051" s="40"/>
      <c r="E6051" s="13" t="s">
        <v>87</v>
      </c>
      <c r="F6051" s="14">
        <f ca="1">SUM(Table382252[MONTO TOTAL ESTIMADO])</f>
        <v>118000</v>
      </c>
    </row>
    <row r="6052" spans="1:6" ht="15.75" thickBot="1" x14ac:dyDescent="0.3">
      <c r="A6052" s="42"/>
      <c r="B6052" s="42"/>
      <c r="C6052" s="42"/>
      <c r="D6052" s="42"/>
      <c r="E6052" s="42"/>
      <c r="F6052" s="42"/>
    </row>
    <row r="6053" spans="1:6" ht="23.25" thickBot="1" x14ac:dyDescent="0.3">
      <c r="A6053" s="4" t="s">
        <v>19</v>
      </c>
      <c r="B6053" s="4" t="s">
        <v>20</v>
      </c>
      <c r="C6053" s="4" t="s">
        <v>21</v>
      </c>
      <c r="D6053" s="4" t="s">
        <v>22</v>
      </c>
      <c r="E6053" s="4" t="s">
        <v>23</v>
      </c>
      <c r="F6053" s="4" t="s">
        <v>24</v>
      </c>
    </row>
    <row r="6054" spans="1:6" ht="15.75" thickBot="1" x14ac:dyDescent="0.3">
      <c r="A6054" s="32" t="s">
        <v>322</v>
      </c>
      <c r="B6054" s="32" t="s">
        <v>323</v>
      </c>
      <c r="C6054" s="32" t="s">
        <v>27</v>
      </c>
      <c r="D6054" s="6" t="s">
        <v>28</v>
      </c>
      <c r="E6054" s="6" t="s">
        <v>262</v>
      </c>
      <c r="F6054" s="6"/>
    </row>
    <row r="6055" spans="1:6" ht="15.75" thickBot="1" x14ac:dyDescent="0.3">
      <c r="A6055" s="35" t="s">
        <v>31</v>
      </c>
      <c r="B6055" s="7" t="s">
        <v>32</v>
      </c>
      <c r="C6055" s="15">
        <v>45566</v>
      </c>
      <c r="D6055" s="35" t="s">
        <v>33</v>
      </c>
      <c r="E6055" s="7" t="s">
        <v>34</v>
      </c>
      <c r="F6055" s="6"/>
    </row>
    <row r="6056" spans="1:6" ht="15.75" thickBot="1" x14ac:dyDescent="0.3">
      <c r="A6056" s="36"/>
      <c r="B6056" s="7" t="s">
        <v>36</v>
      </c>
      <c r="C6056" s="5">
        <f>IF(C6055="","",IF(AND(MONTH(C6055)&gt;=1,MONTH(C6055)&lt;=3),1,IF(AND(MONTH(C6055)&gt;=4,MONTH(C6055)&lt;=6),2,IF(AND(MONTH(C6055)&gt;=7,MONTH(C6055)&lt;=9),3,4))))</f>
        <v>4</v>
      </c>
      <c r="D6056" s="36"/>
      <c r="E6056" s="7" t="s">
        <v>37</v>
      </c>
      <c r="F6056" s="6"/>
    </row>
    <row r="6057" spans="1:6" ht="15.75" thickBot="1" x14ac:dyDescent="0.3">
      <c r="A6057" s="36"/>
      <c r="B6057" s="7" t="s">
        <v>39</v>
      </c>
      <c r="C6057" s="15">
        <v>45656</v>
      </c>
      <c r="D6057" s="36"/>
      <c r="E6057" s="7" t="s">
        <v>40</v>
      </c>
      <c r="F6057" s="6"/>
    </row>
    <row r="6058" spans="1:6" ht="15.75" thickBot="1" x14ac:dyDescent="0.3">
      <c r="A6058" s="36"/>
      <c r="B6058" s="7" t="s">
        <v>36</v>
      </c>
      <c r="C6058" s="5">
        <f>IF(C6057="","",IF(AND(MONTH(C6057)&gt;=1,MONTH(C6057)&lt;=3),1,IF(AND(MONTH(C6057)&gt;=4,MONTH(C6057)&lt;=6),2,IF(AND(MONTH(C6057)&gt;=7,MONTH(C6057)&lt;=9),3,4))))</f>
        <v>4</v>
      </c>
      <c r="D6058" s="36"/>
      <c r="E6058" s="7" t="s">
        <v>41</v>
      </c>
      <c r="F6058" s="6"/>
    </row>
    <row r="6059" spans="1:6" ht="15.75" thickBot="1" x14ac:dyDescent="0.3">
      <c r="A6059" s="40"/>
      <c r="B6059" s="40"/>
      <c r="C6059" s="40"/>
      <c r="D6059" s="40"/>
      <c r="E6059" s="40"/>
      <c r="F6059" s="40"/>
    </row>
    <row r="6060" spans="1:6" ht="15.75" thickBot="1" x14ac:dyDescent="0.3">
      <c r="A6060" s="12" t="s">
        <v>42</v>
      </c>
      <c r="B6060" s="12" t="s">
        <v>43</v>
      </c>
      <c r="C6060" s="12" t="s">
        <v>44</v>
      </c>
      <c r="D6060" s="12" t="s">
        <v>45</v>
      </c>
      <c r="E6060" s="12" t="s">
        <v>46</v>
      </c>
      <c r="F6060" s="12" t="s">
        <v>47</v>
      </c>
    </row>
    <row r="6061" spans="1:6" x14ac:dyDescent="0.25">
      <c r="A6061" s="8">
        <v>14111704</v>
      </c>
      <c r="B6061" s="9" t="str">
        <f ca="1">IFERROR(INDEX(UNSPSCDes,MATCH(INDIRECT(ADDRESS(ROW(),COLUMN()-1,4)),UNSPSCCode,0)),"")</f>
        <v>Papel higiénico</v>
      </c>
      <c r="C6061" s="8" t="s">
        <v>55</v>
      </c>
      <c r="D6061" s="8">
        <v>600</v>
      </c>
      <c r="E6061" s="11">
        <v>875.99</v>
      </c>
      <c r="F6061" s="10">
        <f ca="1">INDIRECT(ADDRESS(ROW(),COLUMN()-2,4))*INDIRECT(ADDRESS(ROW(),COLUMN()-1,4))</f>
        <v>525594</v>
      </c>
    </row>
    <row r="6062" spans="1:6" x14ac:dyDescent="0.25">
      <c r="A6062" s="8">
        <v>14111703</v>
      </c>
      <c r="B6062" s="9" t="str">
        <f ca="1">IFERROR(INDEX(UNSPSCDes,MATCH(INDIRECT(ADDRESS(ROW(),COLUMN()-1,4)),UNSPSCCode,0)),"")</f>
        <v>Toallas de papel</v>
      </c>
      <c r="C6062" s="33" t="s">
        <v>55</v>
      </c>
      <c r="D6062" s="8">
        <v>200</v>
      </c>
      <c r="E6062" s="11">
        <v>894</v>
      </c>
      <c r="F6062" s="10">
        <f ca="1">INDIRECT(ADDRESS(ROW(),COLUMN()-2,4))*INDIRECT(ADDRESS(ROW(),COLUMN()-1,4))</f>
        <v>178800</v>
      </c>
    </row>
    <row r="6063" spans="1:6" x14ac:dyDescent="0.25">
      <c r="A6063" s="8">
        <v>14111705</v>
      </c>
      <c r="B6063" s="9" t="str">
        <f ca="1">IFERROR(INDEX(UNSPSCDes,MATCH(INDIRECT(ADDRESS(ROW(),COLUMN()-1,4)),UNSPSCCode,0)),"")</f>
        <v>Servilletas de papel</v>
      </c>
      <c r="C6063" s="8" t="s">
        <v>74</v>
      </c>
      <c r="D6063" s="8">
        <v>2000</v>
      </c>
      <c r="E6063" s="11">
        <v>138.01</v>
      </c>
      <c r="F6063" s="10">
        <f ca="1">INDIRECT(ADDRESS(ROW(),COLUMN()-2,4))*INDIRECT(ADDRESS(ROW(),COLUMN()-1,4))</f>
        <v>276020</v>
      </c>
    </row>
    <row r="6064" spans="1:6" x14ac:dyDescent="0.25">
      <c r="A6064" s="40"/>
      <c r="B6064" s="40"/>
      <c r="C6064" s="40"/>
      <c r="D6064" s="40"/>
      <c r="E6064" s="13" t="s">
        <v>87</v>
      </c>
      <c r="F6064" s="14">
        <f ca="1">SUM(Table383253[MONTO TOTAL ESTIMADO])</f>
        <v>980414</v>
      </c>
    </row>
    <row r="6065" spans="1:6" ht="15.75" thickBot="1" x14ac:dyDescent="0.3">
      <c r="A6065" s="42"/>
      <c r="B6065" s="42"/>
      <c r="C6065" s="42"/>
      <c r="D6065" s="42"/>
      <c r="E6065" s="42"/>
      <c r="F6065" s="42"/>
    </row>
    <row r="6066" spans="1:6" ht="23.25" thickBot="1" x14ac:dyDescent="0.3">
      <c r="A6066" s="4" t="s">
        <v>19</v>
      </c>
      <c r="B6066" s="4" t="s">
        <v>20</v>
      </c>
      <c r="C6066" s="4" t="s">
        <v>21</v>
      </c>
      <c r="D6066" s="4" t="s">
        <v>22</v>
      </c>
      <c r="E6066" s="4" t="s">
        <v>23</v>
      </c>
      <c r="F6066" s="4" t="s">
        <v>24</v>
      </c>
    </row>
    <row r="6067" spans="1:6" ht="15.75" thickBot="1" x14ac:dyDescent="0.3">
      <c r="A6067" s="32" t="s">
        <v>325</v>
      </c>
      <c r="B6067" s="32" t="s">
        <v>326</v>
      </c>
      <c r="C6067" s="32" t="s">
        <v>27</v>
      </c>
      <c r="D6067" s="6" t="s">
        <v>28</v>
      </c>
      <c r="E6067" s="6" t="s">
        <v>262</v>
      </c>
      <c r="F6067" s="6"/>
    </row>
    <row r="6068" spans="1:6" ht="15.75" thickBot="1" x14ac:dyDescent="0.3">
      <c r="A6068" s="35" t="s">
        <v>31</v>
      </c>
      <c r="B6068" s="7" t="s">
        <v>32</v>
      </c>
      <c r="C6068" s="15">
        <v>45566</v>
      </c>
      <c r="D6068" s="35" t="s">
        <v>33</v>
      </c>
      <c r="E6068" s="7" t="s">
        <v>34</v>
      </c>
      <c r="F6068" s="6"/>
    </row>
    <row r="6069" spans="1:6" ht="15.75" thickBot="1" x14ac:dyDescent="0.3">
      <c r="A6069" s="36"/>
      <c r="B6069" s="7" t="s">
        <v>36</v>
      </c>
      <c r="C6069" s="5">
        <f>IF(C6068="","",IF(AND(MONTH(C6068)&gt;=1,MONTH(C6068)&lt;=3),1,IF(AND(MONTH(C6068)&gt;=4,MONTH(C6068)&lt;=6),2,IF(AND(MONTH(C6068)&gt;=7,MONTH(C6068)&lt;=9),3,4))))</f>
        <v>4</v>
      </c>
      <c r="D6069" s="36"/>
      <c r="E6069" s="7" t="s">
        <v>37</v>
      </c>
      <c r="F6069" s="6"/>
    </row>
    <row r="6070" spans="1:6" ht="15.75" thickBot="1" x14ac:dyDescent="0.3">
      <c r="A6070" s="36"/>
      <c r="B6070" s="7" t="s">
        <v>39</v>
      </c>
      <c r="C6070" s="15">
        <v>45656</v>
      </c>
      <c r="D6070" s="36"/>
      <c r="E6070" s="7" t="s">
        <v>40</v>
      </c>
      <c r="F6070" s="6"/>
    </row>
    <row r="6071" spans="1:6" ht="15.75" thickBot="1" x14ac:dyDescent="0.3">
      <c r="A6071" s="36"/>
      <c r="B6071" s="7" t="s">
        <v>36</v>
      </c>
      <c r="C6071" s="5">
        <f>IF(C6070="","",IF(AND(MONTH(C6070)&gt;=1,MONTH(C6070)&lt;=3),1,IF(AND(MONTH(C6070)&gt;=4,MONTH(C6070)&lt;=6),2,IF(AND(MONTH(C6070)&gt;=7,MONTH(C6070)&lt;=9),3,4))))</f>
        <v>4</v>
      </c>
      <c r="D6071" s="36"/>
      <c r="E6071" s="7" t="s">
        <v>41</v>
      </c>
      <c r="F6071" s="6"/>
    </row>
    <row r="6072" spans="1:6" ht="15.75" thickBot="1" x14ac:dyDescent="0.3">
      <c r="A6072" s="40"/>
      <c r="B6072" s="40"/>
      <c r="C6072" s="40"/>
      <c r="D6072" s="40"/>
      <c r="E6072" s="40"/>
      <c r="F6072" s="40"/>
    </row>
    <row r="6073" spans="1:6" ht="15.75" thickBot="1" x14ac:dyDescent="0.3">
      <c r="A6073" s="12" t="s">
        <v>42</v>
      </c>
      <c r="B6073" s="12" t="s">
        <v>43</v>
      </c>
      <c r="C6073" s="12" t="s">
        <v>44</v>
      </c>
      <c r="D6073" s="12" t="s">
        <v>45</v>
      </c>
      <c r="E6073" s="12" t="s">
        <v>46</v>
      </c>
      <c r="F6073" s="12" t="s">
        <v>47</v>
      </c>
    </row>
    <row r="6074" spans="1:6" x14ac:dyDescent="0.25">
      <c r="A6074" s="8">
        <v>47131803</v>
      </c>
      <c r="B6074" s="9" t="str">
        <f t="shared" ref="B6074:B6095" ca="1" si="123">IFERROR(INDEX(UNSPSCDes,MATCH(INDIRECT(ADDRESS(ROW(),COLUMN()-1,4)),UNSPSCCode,0)),"")</f>
        <v>Desinfectantes para uso doméstico</v>
      </c>
      <c r="C6074" s="8" t="s">
        <v>92</v>
      </c>
      <c r="D6074" s="8">
        <v>600</v>
      </c>
      <c r="E6074" s="11">
        <v>383.5</v>
      </c>
      <c r="F6074" s="10">
        <f t="shared" ref="F6074:F6095" ca="1" si="124">INDIRECT(ADDRESS(ROW(),COLUMN()-2,4))*INDIRECT(ADDRESS(ROW(),COLUMN()-1,4))</f>
        <v>230100</v>
      </c>
    </row>
    <row r="6075" spans="1:6" x14ac:dyDescent="0.25">
      <c r="A6075" s="8">
        <v>47131807</v>
      </c>
      <c r="B6075" s="9" t="str">
        <f t="shared" ca="1" si="123"/>
        <v>Blanqueadores</v>
      </c>
      <c r="C6075" s="33" t="s">
        <v>92</v>
      </c>
      <c r="D6075" s="8">
        <v>600</v>
      </c>
      <c r="E6075" s="11">
        <v>76.7</v>
      </c>
      <c r="F6075" s="10">
        <f t="shared" ca="1" si="124"/>
        <v>46020</v>
      </c>
    </row>
    <row r="6076" spans="1:6" x14ac:dyDescent="0.25">
      <c r="A6076" s="8">
        <v>47131803</v>
      </c>
      <c r="B6076" s="9" t="str">
        <f t="shared" ca="1" si="123"/>
        <v>Desinfectantes para uso doméstico</v>
      </c>
      <c r="C6076" s="33" t="s">
        <v>92</v>
      </c>
      <c r="D6076" s="8">
        <v>600</v>
      </c>
      <c r="E6076" s="11">
        <v>129.80000000000001</v>
      </c>
      <c r="F6076" s="10">
        <f t="shared" ca="1" si="124"/>
        <v>77880</v>
      </c>
    </row>
    <row r="6077" spans="1:6" x14ac:dyDescent="0.25">
      <c r="A6077" s="8">
        <v>47131803</v>
      </c>
      <c r="B6077" s="9" t="str">
        <f t="shared" ca="1" si="123"/>
        <v>Desinfectantes para uso doméstico</v>
      </c>
      <c r="C6077" s="33" t="s">
        <v>92</v>
      </c>
      <c r="D6077" s="8">
        <v>600</v>
      </c>
      <c r="E6077" s="11">
        <v>159.30000000000001</v>
      </c>
      <c r="F6077" s="10">
        <f t="shared" ca="1" si="124"/>
        <v>95580</v>
      </c>
    </row>
    <row r="6078" spans="1:6" x14ac:dyDescent="0.25">
      <c r="A6078" s="8">
        <v>47121702</v>
      </c>
      <c r="B6078" s="9" t="str">
        <f t="shared" ca="1" si="123"/>
        <v>Contenedores de desperdicios o revestimientos rígidos</v>
      </c>
      <c r="C6078" s="8" t="s">
        <v>55</v>
      </c>
      <c r="D6078" s="8">
        <v>200</v>
      </c>
      <c r="E6078" s="11">
        <v>767</v>
      </c>
      <c r="F6078" s="10">
        <f t="shared" ca="1" si="124"/>
        <v>153400</v>
      </c>
    </row>
    <row r="6079" spans="1:6" x14ac:dyDescent="0.25">
      <c r="A6079" s="8">
        <v>24111503</v>
      </c>
      <c r="B6079" s="9" t="str">
        <f t="shared" ca="1" si="123"/>
        <v>Bolsas plásticas</v>
      </c>
      <c r="C6079" s="8" t="s">
        <v>74</v>
      </c>
      <c r="D6079" s="8">
        <v>700</v>
      </c>
      <c r="E6079" s="11">
        <v>47.2</v>
      </c>
      <c r="F6079" s="10">
        <f t="shared" ca="1" si="124"/>
        <v>33040</v>
      </c>
    </row>
    <row r="6080" spans="1:6" x14ac:dyDescent="0.25">
      <c r="A6080" s="8">
        <v>24111503</v>
      </c>
      <c r="B6080" s="9" t="str">
        <f t="shared" ca="1" si="123"/>
        <v>Bolsas plásticas</v>
      </c>
      <c r="C6080" s="33" t="s">
        <v>74</v>
      </c>
      <c r="D6080" s="8">
        <v>700</v>
      </c>
      <c r="E6080" s="11">
        <v>47.2</v>
      </c>
      <c r="F6080" s="10">
        <f t="shared" ca="1" si="124"/>
        <v>33040</v>
      </c>
    </row>
    <row r="6081" spans="1:6" x14ac:dyDescent="0.25">
      <c r="A6081" s="8">
        <v>24111503</v>
      </c>
      <c r="B6081" s="9" t="str">
        <f t="shared" ca="1" si="123"/>
        <v>Bolsas plásticas</v>
      </c>
      <c r="C6081" s="33" t="s">
        <v>74</v>
      </c>
      <c r="D6081" s="8">
        <v>500</v>
      </c>
      <c r="E6081" s="11">
        <v>47.2</v>
      </c>
      <c r="F6081" s="10">
        <f t="shared" ca="1" si="124"/>
        <v>23600</v>
      </c>
    </row>
    <row r="6082" spans="1:6" x14ac:dyDescent="0.25">
      <c r="A6082" s="8">
        <v>47131604</v>
      </c>
      <c r="B6082" s="9" t="str">
        <f t="shared" ca="1" si="123"/>
        <v>Escobas</v>
      </c>
      <c r="C6082" s="33" t="s">
        <v>55</v>
      </c>
      <c r="D6082" s="8">
        <v>600</v>
      </c>
      <c r="E6082" s="11">
        <v>165.2</v>
      </c>
      <c r="F6082" s="10">
        <f t="shared" ca="1" si="124"/>
        <v>99120</v>
      </c>
    </row>
    <row r="6083" spans="1:6" x14ac:dyDescent="0.25">
      <c r="A6083" s="8">
        <v>47131618</v>
      </c>
      <c r="B6083" s="9" t="str">
        <f t="shared" ca="1" si="123"/>
        <v>Traperos húmedos</v>
      </c>
      <c r="C6083" s="33" t="s">
        <v>55</v>
      </c>
      <c r="D6083" s="8">
        <v>600</v>
      </c>
      <c r="E6083" s="11">
        <v>206.5</v>
      </c>
      <c r="F6083" s="10">
        <f t="shared" ca="1" si="124"/>
        <v>123900</v>
      </c>
    </row>
    <row r="6084" spans="1:6" x14ac:dyDescent="0.25">
      <c r="A6084" s="8">
        <v>47131611</v>
      </c>
      <c r="B6084" s="9" t="str">
        <f t="shared" ca="1" si="123"/>
        <v>Recogedor de basura</v>
      </c>
      <c r="C6084" s="33" t="s">
        <v>55</v>
      </c>
      <c r="D6084" s="8">
        <v>150</v>
      </c>
      <c r="E6084" s="11">
        <v>106.2</v>
      </c>
      <c r="F6084" s="10">
        <f t="shared" ca="1" si="124"/>
        <v>15930</v>
      </c>
    </row>
    <row r="6085" spans="1:6" x14ac:dyDescent="0.25">
      <c r="A6085" s="8">
        <v>47131604</v>
      </c>
      <c r="B6085" s="9" t="str">
        <f t="shared" ca="1" si="123"/>
        <v>Escobas</v>
      </c>
      <c r="C6085" s="33" t="s">
        <v>55</v>
      </c>
      <c r="D6085" s="8">
        <v>200</v>
      </c>
      <c r="E6085" s="11">
        <v>177</v>
      </c>
      <c r="F6085" s="10">
        <f t="shared" ca="1" si="124"/>
        <v>35400</v>
      </c>
    </row>
    <row r="6086" spans="1:6" x14ac:dyDescent="0.25">
      <c r="A6086" s="8">
        <v>47131824</v>
      </c>
      <c r="B6086" s="9" t="str">
        <f t="shared" ca="1" si="123"/>
        <v>Limpiadores de vidrio o ventanas</v>
      </c>
      <c r="C6086" s="33" t="s">
        <v>55</v>
      </c>
      <c r="D6086" s="8">
        <v>150</v>
      </c>
      <c r="E6086" s="11">
        <v>147.5</v>
      </c>
      <c r="F6086" s="10">
        <f t="shared" ca="1" si="124"/>
        <v>22125</v>
      </c>
    </row>
    <row r="6087" spans="1:6" x14ac:dyDescent="0.25">
      <c r="A6087" s="8">
        <v>47131502</v>
      </c>
      <c r="B6087" s="9" t="str">
        <f t="shared" ca="1" si="123"/>
        <v>Pañitos o toallas para limpiar</v>
      </c>
      <c r="C6087" s="33" t="s">
        <v>55</v>
      </c>
      <c r="D6087" s="8">
        <v>600</v>
      </c>
      <c r="E6087" s="11">
        <v>57.82</v>
      </c>
      <c r="F6087" s="10">
        <f t="shared" ca="1" si="124"/>
        <v>34692</v>
      </c>
    </row>
    <row r="6088" spans="1:6" x14ac:dyDescent="0.25">
      <c r="A6088" s="8">
        <v>47131604</v>
      </c>
      <c r="B6088" s="9" t="str">
        <f t="shared" ca="1" si="123"/>
        <v>Escobas</v>
      </c>
      <c r="C6088" s="33" t="s">
        <v>55</v>
      </c>
      <c r="D6088" s="8">
        <v>25</v>
      </c>
      <c r="E6088" s="11">
        <v>1121</v>
      </c>
      <c r="F6088" s="10">
        <f t="shared" ca="1" si="124"/>
        <v>28025</v>
      </c>
    </row>
    <row r="6089" spans="1:6" x14ac:dyDescent="0.25">
      <c r="A6089" s="8">
        <v>46181504</v>
      </c>
      <c r="B6089" s="9" t="str">
        <f t="shared" ca="1" si="123"/>
        <v>Guantes de protección</v>
      </c>
      <c r="C6089" s="33" t="s">
        <v>55</v>
      </c>
      <c r="D6089" s="8">
        <v>600</v>
      </c>
      <c r="E6089" s="11">
        <v>82.6</v>
      </c>
      <c r="F6089" s="10">
        <f t="shared" ca="1" si="124"/>
        <v>49560</v>
      </c>
    </row>
    <row r="6090" spans="1:6" x14ac:dyDescent="0.25">
      <c r="A6090" s="8">
        <v>47131803</v>
      </c>
      <c r="B6090" s="9" t="str">
        <f t="shared" ca="1" si="123"/>
        <v>Desinfectantes para uso doméstico</v>
      </c>
      <c r="C6090" s="33" t="s">
        <v>55</v>
      </c>
      <c r="D6090" s="8">
        <v>500</v>
      </c>
      <c r="E6090" s="11">
        <v>525</v>
      </c>
      <c r="F6090" s="10">
        <f t="shared" ca="1" si="124"/>
        <v>262500</v>
      </c>
    </row>
    <row r="6091" spans="1:6" x14ac:dyDescent="0.25">
      <c r="A6091" s="8">
        <v>47131502</v>
      </c>
      <c r="B6091" s="9" t="str">
        <f t="shared" ca="1" si="123"/>
        <v>Pañitos o toallas para limpiar</v>
      </c>
      <c r="C6091" s="33" t="s">
        <v>55</v>
      </c>
      <c r="D6091" s="8">
        <v>300</v>
      </c>
      <c r="E6091" s="11">
        <v>106.2</v>
      </c>
      <c r="F6091" s="10">
        <f t="shared" ca="1" si="124"/>
        <v>31860</v>
      </c>
    </row>
    <row r="6092" spans="1:6" x14ac:dyDescent="0.25">
      <c r="A6092" s="8">
        <v>47131812</v>
      </c>
      <c r="B6092" s="9" t="str">
        <f t="shared" ca="1" si="123"/>
        <v>Refrescador de aire</v>
      </c>
      <c r="C6092" s="33" t="s">
        <v>55</v>
      </c>
      <c r="D6092" s="8">
        <v>1200</v>
      </c>
      <c r="E6092" s="11">
        <v>135.69999999999999</v>
      </c>
      <c r="F6092" s="10">
        <f t="shared" ca="1" si="124"/>
        <v>162840</v>
      </c>
    </row>
    <row r="6093" spans="1:6" x14ac:dyDescent="0.25">
      <c r="A6093" s="8">
        <v>47131816</v>
      </c>
      <c r="B6093" s="9" t="str">
        <f t="shared" ca="1" si="123"/>
        <v>Desodorantes</v>
      </c>
      <c r="C6093" s="33" t="s">
        <v>55</v>
      </c>
      <c r="D6093" s="8">
        <v>300</v>
      </c>
      <c r="E6093" s="11">
        <v>59</v>
      </c>
      <c r="F6093" s="10">
        <f t="shared" ca="1" si="124"/>
        <v>17700</v>
      </c>
    </row>
    <row r="6094" spans="1:6" x14ac:dyDescent="0.25">
      <c r="A6094" s="8">
        <v>47121804</v>
      </c>
      <c r="B6094" s="9" t="str">
        <f t="shared" ca="1" si="123"/>
        <v>Baldes para limpieza</v>
      </c>
      <c r="C6094" s="33" t="s">
        <v>55</v>
      </c>
      <c r="D6094" s="8">
        <v>100</v>
      </c>
      <c r="E6094" s="11">
        <v>265.5</v>
      </c>
      <c r="F6094" s="10">
        <f t="shared" ca="1" si="124"/>
        <v>26550</v>
      </c>
    </row>
    <row r="6095" spans="1:6" x14ac:dyDescent="0.25">
      <c r="A6095" s="8">
        <v>47121806</v>
      </c>
      <c r="B6095" s="9" t="str">
        <f t="shared" ca="1" si="123"/>
        <v>Escurridor de trapero</v>
      </c>
      <c r="C6095" s="33" t="s">
        <v>55</v>
      </c>
      <c r="D6095" s="8">
        <v>12</v>
      </c>
      <c r="E6095" s="11">
        <v>5841</v>
      </c>
      <c r="F6095" s="10">
        <f t="shared" ca="1" si="124"/>
        <v>70092</v>
      </c>
    </row>
    <row r="6096" spans="1:6" x14ac:dyDescent="0.25">
      <c r="A6096" s="40"/>
      <c r="B6096" s="40"/>
      <c r="C6096" s="40"/>
      <c r="D6096" s="40"/>
      <c r="E6096" s="13" t="s">
        <v>87</v>
      </c>
      <c r="F6096" s="14">
        <f ca="1">SUM(Table384254[MONTO TOTAL ESTIMADO])</f>
        <v>1672954</v>
      </c>
    </row>
    <row r="6097" spans="1:6" ht="15.75" thickBot="1" x14ac:dyDescent="0.3">
      <c r="A6097" s="42"/>
      <c r="B6097" s="42"/>
      <c r="C6097" s="42"/>
      <c r="D6097" s="42"/>
      <c r="E6097" s="42"/>
      <c r="F6097" s="42"/>
    </row>
    <row r="6098" spans="1:6" ht="23.25" thickBot="1" x14ac:dyDescent="0.3">
      <c r="A6098" s="4" t="s">
        <v>19</v>
      </c>
      <c r="B6098" s="4" t="s">
        <v>20</v>
      </c>
      <c r="C6098" s="4" t="s">
        <v>21</v>
      </c>
      <c r="D6098" s="4" t="s">
        <v>22</v>
      </c>
      <c r="E6098" s="4" t="s">
        <v>23</v>
      </c>
      <c r="F6098" s="4" t="s">
        <v>24</v>
      </c>
    </row>
    <row r="6099" spans="1:6" ht="15.75" thickBot="1" x14ac:dyDescent="0.3">
      <c r="A6099" s="32" t="s">
        <v>335</v>
      </c>
      <c r="B6099" s="32" t="s">
        <v>336</v>
      </c>
      <c r="C6099" s="32" t="s">
        <v>27</v>
      </c>
      <c r="D6099" s="6" t="s">
        <v>28</v>
      </c>
      <c r="E6099" s="6" t="s">
        <v>262</v>
      </c>
      <c r="F6099" s="6"/>
    </row>
    <row r="6100" spans="1:6" ht="15.75" thickBot="1" x14ac:dyDescent="0.3">
      <c r="A6100" s="35" t="s">
        <v>31</v>
      </c>
      <c r="B6100" s="7" t="s">
        <v>32</v>
      </c>
      <c r="C6100" s="15">
        <v>45566</v>
      </c>
      <c r="D6100" s="35" t="s">
        <v>33</v>
      </c>
      <c r="E6100" s="7" t="s">
        <v>34</v>
      </c>
      <c r="F6100" s="6"/>
    </row>
    <row r="6101" spans="1:6" ht="15.75" thickBot="1" x14ac:dyDescent="0.3">
      <c r="A6101" s="36"/>
      <c r="B6101" s="7" t="s">
        <v>36</v>
      </c>
      <c r="C6101" s="5">
        <f>IF(C6100="","",IF(AND(MONTH(C6100)&gt;=1,MONTH(C6100)&lt;=3),1,IF(AND(MONTH(C6100)&gt;=4,MONTH(C6100)&lt;=6),2,IF(AND(MONTH(C6100)&gt;=7,MONTH(C6100)&lt;=9),3,4))))</f>
        <v>4</v>
      </c>
      <c r="D6101" s="36"/>
      <c r="E6101" s="7" t="s">
        <v>37</v>
      </c>
      <c r="F6101" s="6"/>
    </row>
    <row r="6102" spans="1:6" ht="15.75" thickBot="1" x14ac:dyDescent="0.3">
      <c r="A6102" s="36"/>
      <c r="B6102" s="7" t="s">
        <v>39</v>
      </c>
      <c r="C6102" s="15">
        <v>45656</v>
      </c>
      <c r="D6102" s="36"/>
      <c r="E6102" s="7" t="s">
        <v>40</v>
      </c>
      <c r="F6102" s="6"/>
    </row>
    <row r="6103" spans="1:6" ht="15.75" thickBot="1" x14ac:dyDescent="0.3">
      <c r="A6103" s="36"/>
      <c r="B6103" s="7" t="s">
        <v>36</v>
      </c>
      <c r="C6103" s="5">
        <f>IF(C6102="","",IF(AND(MONTH(C6102)&gt;=1,MONTH(C6102)&lt;=3),1,IF(AND(MONTH(C6102)&gt;=4,MONTH(C6102)&lt;=6),2,IF(AND(MONTH(C6102)&gt;=7,MONTH(C6102)&lt;=9),3,4))))</f>
        <v>4</v>
      </c>
      <c r="D6103" s="36"/>
      <c r="E6103" s="7" t="s">
        <v>41</v>
      </c>
      <c r="F6103" s="6"/>
    </row>
    <row r="6104" spans="1:6" ht="15.75" thickBot="1" x14ac:dyDescent="0.3">
      <c r="A6104" s="40"/>
      <c r="B6104" s="40"/>
      <c r="C6104" s="40"/>
      <c r="D6104" s="40"/>
      <c r="E6104" s="40"/>
      <c r="F6104" s="40"/>
    </row>
    <row r="6105" spans="1:6" ht="15.75" thickBot="1" x14ac:dyDescent="0.3">
      <c r="A6105" s="12" t="s">
        <v>42</v>
      </c>
      <c r="B6105" s="12" t="s">
        <v>43</v>
      </c>
      <c r="C6105" s="12" t="s">
        <v>44</v>
      </c>
      <c r="D6105" s="12" t="s">
        <v>45</v>
      </c>
      <c r="E6105" s="12" t="s">
        <v>46</v>
      </c>
      <c r="F6105" s="12" t="s">
        <v>47</v>
      </c>
    </row>
    <row r="6106" spans="1:6" x14ac:dyDescent="0.25">
      <c r="A6106" s="8">
        <v>55121727</v>
      </c>
      <c r="B6106" s="9" t="str">
        <f ca="1">IFERROR(INDEX(UNSPSCDes,MATCH(INDIRECT(ADDRESS(ROW(),COLUMN()-1,4)),UNSPSCCode,0)),"")</f>
        <v>Letreros</v>
      </c>
      <c r="C6106" s="8" t="s">
        <v>55</v>
      </c>
      <c r="D6106" s="8">
        <v>10</v>
      </c>
      <c r="E6106" s="11">
        <v>31364.400000000001</v>
      </c>
      <c r="F6106" s="10">
        <f ca="1">INDIRECT(ADDRESS(ROW(),COLUMN()-2,4))*INDIRECT(ADDRESS(ROW(),COLUMN()-1,4))</f>
        <v>313644</v>
      </c>
    </row>
    <row r="6107" spans="1:6" x14ac:dyDescent="0.25">
      <c r="A6107" s="40"/>
      <c r="B6107" s="40"/>
      <c r="C6107" s="40"/>
      <c r="D6107" s="40"/>
      <c r="E6107" s="13" t="s">
        <v>87</v>
      </c>
      <c r="F6107" s="14">
        <f ca="1">SUM(Table385255[MONTO TOTAL ESTIMADO])</f>
        <v>313644</v>
      </c>
    </row>
    <row r="6108" spans="1:6" ht="15.75" thickBot="1" x14ac:dyDescent="0.3">
      <c r="A6108" s="42"/>
      <c r="B6108" s="42"/>
      <c r="C6108" s="42"/>
      <c r="D6108" s="42"/>
      <c r="E6108" s="42"/>
      <c r="F6108" s="42"/>
    </row>
    <row r="6109" spans="1:6" ht="23.25" thickBot="1" x14ac:dyDescent="0.3">
      <c r="A6109" s="4" t="s">
        <v>19</v>
      </c>
      <c r="B6109" s="4" t="s">
        <v>20</v>
      </c>
      <c r="C6109" s="4" t="s">
        <v>21</v>
      </c>
      <c r="D6109" s="4" t="s">
        <v>22</v>
      </c>
      <c r="E6109" s="4" t="s">
        <v>23</v>
      </c>
      <c r="F6109" s="4" t="s">
        <v>24</v>
      </c>
    </row>
    <row r="6110" spans="1:6" ht="15.75" thickBot="1" x14ac:dyDescent="0.3">
      <c r="A6110" s="32" t="s">
        <v>338</v>
      </c>
      <c r="B6110" s="32" t="s">
        <v>339</v>
      </c>
      <c r="C6110" s="32" t="s">
        <v>27</v>
      </c>
      <c r="D6110" s="6" t="s">
        <v>188</v>
      </c>
      <c r="E6110" s="6" t="s">
        <v>262</v>
      </c>
      <c r="F6110" s="6"/>
    </row>
    <row r="6111" spans="1:6" ht="15.75" thickBot="1" x14ac:dyDescent="0.3">
      <c r="A6111" s="35" t="s">
        <v>31</v>
      </c>
      <c r="B6111" s="7" t="s">
        <v>32</v>
      </c>
      <c r="C6111" s="15">
        <v>45566</v>
      </c>
      <c r="D6111" s="35" t="s">
        <v>33</v>
      </c>
      <c r="E6111" s="7" t="s">
        <v>34</v>
      </c>
      <c r="F6111" s="6"/>
    </row>
    <row r="6112" spans="1:6" ht="15.75" thickBot="1" x14ac:dyDescent="0.3">
      <c r="A6112" s="36"/>
      <c r="B6112" s="7" t="s">
        <v>36</v>
      </c>
      <c r="C6112" s="5">
        <f>IF(C6111="","",IF(AND(MONTH(C6111)&gt;=1,MONTH(C6111)&lt;=3),1,IF(AND(MONTH(C6111)&gt;=4,MONTH(C6111)&lt;=6),2,IF(AND(MONTH(C6111)&gt;=7,MONTH(C6111)&lt;=9),3,4))))</f>
        <v>4</v>
      </c>
      <c r="D6112" s="36"/>
      <c r="E6112" s="7" t="s">
        <v>37</v>
      </c>
      <c r="F6112" s="6"/>
    </row>
    <row r="6113" spans="1:6" ht="15.75" thickBot="1" x14ac:dyDescent="0.3">
      <c r="A6113" s="36"/>
      <c r="B6113" s="7" t="s">
        <v>39</v>
      </c>
      <c r="C6113" s="15">
        <v>45656</v>
      </c>
      <c r="D6113" s="36"/>
      <c r="E6113" s="7" t="s">
        <v>40</v>
      </c>
      <c r="F6113" s="6"/>
    </row>
    <row r="6114" spans="1:6" ht="15.75" thickBot="1" x14ac:dyDescent="0.3">
      <c r="A6114" s="36"/>
      <c r="B6114" s="7" t="s">
        <v>36</v>
      </c>
      <c r="C6114" s="5">
        <f>IF(C6113="","",IF(AND(MONTH(C6113)&gt;=1,MONTH(C6113)&lt;=3),1,IF(AND(MONTH(C6113)&gt;=4,MONTH(C6113)&lt;=6),2,IF(AND(MONTH(C6113)&gt;=7,MONTH(C6113)&lt;=9),3,4))))</f>
        <v>4</v>
      </c>
      <c r="D6114" s="36"/>
      <c r="E6114" s="7" t="s">
        <v>41</v>
      </c>
      <c r="F6114" s="6"/>
    </row>
    <row r="6115" spans="1:6" ht="15.75" thickBot="1" x14ac:dyDescent="0.3">
      <c r="A6115" s="40"/>
      <c r="B6115" s="40"/>
      <c r="C6115" s="40"/>
      <c r="D6115" s="40"/>
      <c r="E6115" s="40"/>
      <c r="F6115" s="40"/>
    </row>
    <row r="6116" spans="1:6" ht="15.75" thickBot="1" x14ac:dyDescent="0.3">
      <c r="A6116" s="12" t="s">
        <v>42</v>
      </c>
      <c r="B6116" s="12" t="s">
        <v>43</v>
      </c>
      <c r="C6116" s="12" t="s">
        <v>44</v>
      </c>
      <c r="D6116" s="12" t="s">
        <v>45</v>
      </c>
      <c r="E6116" s="12" t="s">
        <v>46</v>
      </c>
      <c r="F6116" s="12" t="s">
        <v>47</v>
      </c>
    </row>
    <row r="6117" spans="1:6" x14ac:dyDescent="0.25">
      <c r="A6117" s="8">
        <v>82121505</v>
      </c>
      <c r="B6117" s="9" t="str">
        <f ca="1">IFERROR(INDEX(UNSPSCDes,MATCH(INDIRECT(ADDRESS(ROW(),COLUMN()-1,4)),UNSPSCCode,0)),"")</f>
        <v>Impresión promocional o publicitaria</v>
      </c>
      <c r="C6117" s="33" t="s">
        <v>55</v>
      </c>
      <c r="D6117" s="8">
        <v>6</v>
      </c>
      <c r="E6117" s="11">
        <v>20060</v>
      </c>
      <c r="F6117" s="10">
        <f ca="1">INDIRECT(ADDRESS(ROW(),COLUMN()-2,4))*INDIRECT(ADDRESS(ROW(),COLUMN()-1,4))</f>
        <v>120360</v>
      </c>
    </row>
    <row r="6118" spans="1:6" x14ac:dyDescent="0.25">
      <c r="A6118" s="40"/>
      <c r="B6118" s="40"/>
      <c r="C6118" s="40"/>
      <c r="D6118" s="40"/>
      <c r="E6118" s="13" t="s">
        <v>87</v>
      </c>
      <c r="F6118" s="14">
        <f ca="1">SUM(Table386256[MONTO TOTAL ESTIMADO])</f>
        <v>120360</v>
      </c>
    </row>
    <row r="6119" spans="1:6" ht="15.75" thickBot="1" x14ac:dyDescent="0.3">
      <c r="A6119" s="42"/>
      <c r="B6119" s="42"/>
      <c r="C6119" s="42"/>
      <c r="D6119" s="42"/>
      <c r="E6119" s="42"/>
      <c r="F6119" s="42"/>
    </row>
    <row r="6120" spans="1:6" ht="23.25" thickBot="1" x14ac:dyDescent="0.3">
      <c r="A6120" s="4" t="s">
        <v>19</v>
      </c>
      <c r="B6120" s="4" t="s">
        <v>20</v>
      </c>
      <c r="C6120" s="4" t="s">
        <v>21</v>
      </c>
      <c r="D6120" s="4" t="s">
        <v>22</v>
      </c>
      <c r="E6120" s="4" t="s">
        <v>23</v>
      </c>
      <c r="F6120" s="4" t="s">
        <v>24</v>
      </c>
    </row>
    <row r="6121" spans="1:6" ht="15.75" thickBot="1" x14ac:dyDescent="0.3">
      <c r="A6121" s="32" t="s">
        <v>341</v>
      </c>
      <c r="B6121" s="32" t="s">
        <v>342</v>
      </c>
      <c r="C6121" s="32" t="s">
        <v>27</v>
      </c>
      <c r="D6121" s="6" t="s">
        <v>28</v>
      </c>
      <c r="E6121" s="6" t="s">
        <v>262</v>
      </c>
      <c r="F6121" s="6"/>
    </row>
    <row r="6122" spans="1:6" ht="15.75" thickBot="1" x14ac:dyDescent="0.3">
      <c r="A6122" s="35" t="s">
        <v>31</v>
      </c>
      <c r="B6122" s="7" t="s">
        <v>32</v>
      </c>
      <c r="C6122" s="15">
        <v>45566</v>
      </c>
      <c r="D6122" s="35" t="s">
        <v>33</v>
      </c>
      <c r="E6122" s="7" t="s">
        <v>34</v>
      </c>
      <c r="F6122" s="6"/>
    </row>
    <row r="6123" spans="1:6" ht="15.75" thickBot="1" x14ac:dyDescent="0.3">
      <c r="A6123" s="36"/>
      <c r="B6123" s="7" t="s">
        <v>36</v>
      </c>
      <c r="C6123" s="5">
        <f>IF(C6122="","",IF(AND(MONTH(C6122)&gt;=1,MONTH(C6122)&lt;=3),1,IF(AND(MONTH(C6122)&gt;=4,MONTH(C6122)&lt;=6),2,IF(AND(MONTH(C6122)&gt;=7,MONTH(C6122)&lt;=9),3,4))))</f>
        <v>4</v>
      </c>
      <c r="D6123" s="36"/>
      <c r="E6123" s="7" t="s">
        <v>37</v>
      </c>
      <c r="F6123" s="6"/>
    </row>
    <row r="6124" spans="1:6" ht="15.75" thickBot="1" x14ac:dyDescent="0.3">
      <c r="A6124" s="36"/>
      <c r="B6124" s="7" t="s">
        <v>39</v>
      </c>
      <c r="C6124" s="15">
        <v>45656</v>
      </c>
      <c r="D6124" s="36"/>
      <c r="E6124" s="7" t="s">
        <v>40</v>
      </c>
      <c r="F6124" s="6"/>
    </row>
    <row r="6125" spans="1:6" ht="15.75" thickBot="1" x14ac:dyDescent="0.3">
      <c r="A6125" s="36"/>
      <c r="B6125" s="7" t="s">
        <v>36</v>
      </c>
      <c r="C6125" s="5">
        <f>IF(C6124="","",IF(AND(MONTH(C6124)&gt;=1,MONTH(C6124)&lt;=3),1,IF(AND(MONTH(C6124)&gt;=4,MONTH(C6124)&lt;=6),2,IF(AND(MONTH(C6124)&gt;=7,MONTH(C6124)&lt;=9),3,4))))</f>
        <v>4</v>
      </c>
      <c r="D6125" s="36"/>
      <c r="E6125" s="7" t="s">
        <v>41</v>
      </c>
      <c r="F6125" s="6"/>
    </row>
    <row r="6126" spans="1:6" ht="15.75" thickBot="1" x14ac:dyDescent="0.3">
      <c r="A6126" s="40"/>
      <c r="B6126" s="40"/>
      <c r="C6126" s="40"/>
      <c r="D6126" s="40"/>
      <c r="E6126" s="40"/>
      <c r="F6126" s="40"/>
    </row>
    <row r="6127" spans="1:6" ht="15.75" thickBot="1" x14ac:dyDescent="0.3">
      <c r="A6127" s="12" t="s">
        <v>42</v>
      </c>
      <c r="B6127" s="12" t="s">
        <v>43</v>
      </c>
      <c r="C6127" s="12" t="s">
        <v>44</v>
      </c>
      <c r="D6127" s="12" t="s">
        <v>45</v>
      </c>
      <c r="E6127" s="12" t="s">
        <v>46</v>
      </c>
      <c r="F6127" s="12" t="s">
        <v>47</v>
      </c>
    </row>
    <row r="6128" spans="1:6" x14ac:dyDescent="0.25">
      <c r="A6128" s="8">
        <v>50181905</v>
      </c>
      <c r="B6128" s="9" t="str">
        <f ca="1">IFERROR(INDEX(UNSPSCDes,MATCH(INDIRECT(ADDRESS(ROW(),COLUMN()-1,4)),UNSPSCCode,0)),"")</f>
        <v>Galletas de dulce</v>
      </c>
      <c r="C6128" s="33" t="s">
        <v>55</v>
      </c>
      <c r="D6128" s="8">
        <v>5000</v>
      </c>
      <c r="E6128" s="11">
        <v>183.96</v>
      </c>
      <c r="F6128" s="10">
        <f ca="1">INDIRECT(ADDRESS(ROW(),COLUMN()-2,4))*INDIRECT(ADDRESS(ROW(),COLUMN()-1,4))</f>
        <v>919800</v>
      </c>
    </row>
    <row r="6129" spans="1:6" x14ac:dyDescent="0.25">
      <c r="A6129" s="40"/>
      <c r="B6129" s="40"/>
      <c r="C6129" s="40"/>
      <c r="D6129" s="40"/>
      <c r="E6129" s="13" t="s">
        <v>87</v>
      </c>
      <c r="F6129" s="14">
        <f ca="1">SUM(Table387257[MONTO TOTAL ESTIMADO])</f>
        <v>919800</v>
      </c>
    </row>
    <row r="6130" spans="1:6" ht="15.75" thickBot="1" x14ac:dyDescent="0.3">
      <c r="A6130" s="42"/>
      <c r="B6130" s="42"/>
      <c r="C6130" s="42"/>
      <c r="D6130" s="42"/>
      <c r="E6130" s="42"/>
      <c r="F6130" s="42"/>
    </row>
    <row r="6131" spans="1:6" ht="23.25" thickBot="1" x14ac:dyDescent="0.3">
      <c r="A6131" s="4" t="s">
        <v>19</v>
      </c>
      <c r="B6131" s="4" t="s">
        <v>20</v>
      </c>
      <c r="C6131" s="4" t="s">
        <v>21</v>
      </c>
      <c r="D6131" s="4" t="s">
        <v>22</v>
      </c>
      <c r="E6131" s="4" t="s">
        <v>23</v>
      </c>
      <c r="F6131" s="4" t="s">
        <v>24</v>
      </c>
    </row>
    <row r="6132" spans="1:6" ht="15.75" thickBot="1" x14ac:dyDescent="0.3">
      <c r="A6132" s="32" t="s">
        <v>344</v>
      </c>
      <c r="B6132" s="32" t="s">
        <v>345</v>
      </c>
      <c r="C6132" s="32" t="s">
        <v>27</v>
      </c>
      <c r="D6132" s="6" t="s">
        <v>188</v>
      </c>
      <c r="E6132" s="6" t="s">
        <v>262</v>
      </c>
      <c r="F6132" s="6"/>
    </row>
    <row r="6133" spans="1:6" ht="15.75" thickBot="1" x14ac:dyDescent="0.3">
      <c r="A6133" s="35" t="s">
        <v>31</v>
      </c>
      <c r="B6133" s="7" t="s">
        <v>32</v>
      </c>
      <c r="C6133" s="15">
        <v>45566</v>
      </c>
      <c r="D6133" s="35" t="s">
        <v>33</v>
      </c>
      <c r="E6133" s="7" t="s">
        <v>34</v>
      </c>
      <c r="F6133" s="6"/>
    </row>
    <row r="6134" spans="1:6" ht="15.75" thickBot="1" x14ac:dyDescent="0.3">
      <c r="A6134" s="36"/>
      <c r="B6134" s="7" t="s">
        <v>36</v>
      </c>
      <c r="C6134" s="5">
        <f>IF(C6133="","",IF(AND(MONTH(C6133)&gt;=1,MONTH(C6133)&lt;=3),1,IF(AND(MONTH(C6133)&gt;=4,MONTH(C6133)&lt;=6),2,IF(AND(MONTH(C6133)&gt;=7,MONTH(C6133)&lt;=9),3,4))))</f>
        <v>4</v>
      </c>
      <c r="D6134" s="36"/>
      <c r="E6134" s="7" t="s">
        <v>37</v>
      </c>
      <c r="F6134" s="6"/>
    </row>
    <row r="6135" spans="1:6" ht="15.75" thickBot="1" x14ac:dyDescent="0.3">
      <c r="A6135" s="36"/>
      <c r="B6135" s="7" t="s">
        <v>39</v>
      </c>
      <c r="C6135" s="15">
        <v>45656</v>
      </c>
      <c r="D6135" s="36"/>
      <c r="E6135" s="7" t="s">
        <v>40</v>
      </c>
      <c r="F6135" s="6"/>
    </row>
    <row r="6136" spans="1:6" ht="15.75" thickBot="1" x14ac:dyDescent="0.3">
      <c r="A6136" s="36"/>
      <c r="B6136" s="7" t="s">
        <v>36</v>
      </c>
      <c r="C6136" s="5">
        <f>IF(C6135="","",IF(AND(MONTH(C6135)&gt;=1,MONTH(C6135)&lt;=3),1,IF(AND(MONTH(C6135)&gt;=4,MONTH(C6135)&lt;=6),2,IF(AND(MONTH(C6135)&gt;=7,MONTH(C6135)&lt;=9),3,4))))</f>
        <v>4</v>
      </c>
      <c r="D6136" s="36"/>
      <c r="E6136" s="7" t="s">
        <v>41</v>
      </c>
      <c r="F6136" s="6"/>
    </row>
    <row r="6137" spans="1:6" ht="15.75" thickBot="1" x14ac:dyDescent="0.3">
      <c r="A6137" s="40"/>
      <c r="B6137" s="40"/>
      <c r="C6137" s="40"/>
      <c r="D6137" s="40"/>
      <c r="E6137" s="40"/>
      <c r="F6137" s="40"/>
    </row>
    <row r="6138" spans="1:6" ht="15.75" thickBot="1" x14ac:dyDescent="0.3">
      <c r="A6138" s="12" t="s">
        <v>42</v>
      </c>
      <c r="B6138" s="12" t="s">
        <v>43</v>
      </c>
      <c r="C6138" s="12" t="s">
        <v>44</v>
      </c>
      <c r="D6138" s="12" t="s">
        <v>45</v>
      </c>
      <c r="E6138" s="12" t="s">
        <v>46</v>
      </c>
      <c r="F6138" s="12" t="s">
        <v>47</v>
      </c>
    </row>
    <row r="6139" spans="1:6" x14ac:dyDescent="0.25">
      <c r="A6139" s="8">
        <v>45111802</v>
      </c>
      <c r="B6139" s="9" t="str">
        <f ca="1">IFERROR(INDEX(UNSPSCDes,MATCH(INDIRECT(ADDRESS(ROW(),COLUMN()-1,4)),UNSPSCCode,0)),"")</f>
        <v>Soportes para televisiones</v>
      </c>
      <c r="C6139" s="8" t="s">
        <v>55</v>
      </c>
      <c r="D6139" s="8">
        <v>2</v>
      </c>
      <c r="E6139" s="11">
        <v>23895</v>
      </c>
      <c r="F6139" s="10">
        <f ca="1">INDIRECT(ADDRESS(ROW(),COLUMN()-2,4))*INDIRECT(ADDRESS(ROW(),COLUMN()-1,4))</f>
        <v>47790</v>
      </c>
    </row>
    <row r="6140" spans="1:6" x14ac:dyDescent="0.25">
      <c r="A6140" s="8">
        <v>52161505</v>
      </c>
      <c r="B6140" s="9" t="str">
        <f ca="1">IFERROR(INDEX(UNSPSCDes,MATCH(INDIRECT(ADDRESS(ROW(),COLUMN()-1,4)),UNSPSCCode,0)),"")</f>
        <v>Televisores</v>
      </c>
      <c r="C6140" s="33" t="s">
        <v>55</v>
      </c>
      <c r="D6140" s="8">
        <v>2</v>
      </c>
      <c r="E6140" s="11">
        <v>58056</v>
      </c>
      <c r="F6140" s="10">
        <f ca="1">INDIRECT(ADDRESS(ROW(),COLUMN()-2,4))*INDIRECT(ADDRESS(ROW(),COLUMN()-1,4))</f>
        <v>116112</v>
      </c>
    </row>
    <row r="6141" spans="1:6" x14ac:dyDescent="0.25">
      <c r="A6141" s="40"/>
      <c r="B6141" s="40"/>
      <c r="C6141" s="40"/>
      <c r="D6141" s="40"/>
      <c r="E6141" s="13" t="s">
        <v>87</v>
      </c>
      <c r="F6141" s="14">
        <f ca="1">SUM(Table388258[MONTO TOTAL ESTIMADO])</f>
        <v>163902</v>
      </c>
    </row>
    <row r="6142" spans="1:6" ht="15.75" thickBot="1" x14ac:dyDescent="0.3">
      <c r="A6142" s="42"/>
      <c r="B6142" s="42"/>
      <c r="C6142" s="42"/>
      <c r="D6142" s="42"/>
      <c r="E6142" s="42"/>
      <c r="F6142" s="42"/>
    </row>
    <row r="6143" spans="1:6" ht="23.25" thickBot="1" x14ac:dyDescent="0.3">
      <c r="A6143" s="4" t="s">
        <v>19</v>
      </c>
      <c r="B6143" s="4" t="s">
        <v>20</v>
      </c>
      <c r="C6143" s="4" t="s">
        <v>21</v>
      </c>
      <c r="D6143" s="4" t="s">
        <v>22</v>
      </c>
      <c r="E6143" s="4" t="s">
        <v>23</v>
      </c>
      <c r="F6143" s="4" t="s">
        <v>24</v>
      </c>
    </row>
    <row r="6144" spans="1:6" ht="15.75" thickBot="1" x14ac:dyDescent="0.3">
      <c r="A6144" s="32" t="s">
        <v>347</v>
      </c>
      <c r="B6144" s="32" t="s">
        <v>348</v>
      </c>
      <c r="C6144" s="32" t="s">
        <v>27</v>
      </c>
      <c r="D6144" s="6" t="s">
        <v>188</v>
      </c>
      <c r="E6144" s="6" t="s">
        <v>262</v>
      </c>
      <c r="F6144" s="6"/>
    </row>
    <row r="6145" spans="1:6" ht="15.75" thickBot="1" x14ac:dyDescent="0.3">
      <c r="A6145" s="35" t="s">
        <v>31</v>
      </c>
      <c r="B6145" s="7" t="s">
        <v>32</v>
      </c>
      <c r="C6145" s="15">
        <v>45566</v>
      </c>
      <c r="D6145" s="35" t="s">
        <v>33</v>
      </c>
      <c r="E6145" s="7" t="s">
        <v>34</v>
      </c>
      <c r="F6145" s="6"/>
    </row>
    <row r="6146" spans="1:6" ht="15.75" thickBot="1" x14ac:dyDescent="0.3">
      <c r="A6146" s="36"/>
      <c r="B6146" s="7" t="s">
        <v>36</v>
      </c>
      <c r="C6146" s="5">
        <f>IF(C6145="","",IF(AND(MONTH(C6145)&gt;=1,MONTH(C6145)&lt;=3),1,IF(AND(MONTH(C6145)&gt;=4,MONTH(C6145)&lt;=6),2,IF(AND(MONTH(C6145)&gt;=7,MONTH(C6145)&lt;=9),3,4))))</f>
        <v>4</v>
      </c>
      <c r="D6146" s="36"/>
      <c r="E6146" s="7" t="s">
        <v>37</v>
      </c>
      <c r="F6146" s="6"/>
    </row>
    <row r="6147" spans="1:6" ht="15.75" thickBot="1" x14ac:dyDescent="0.3">
      <c r="A6147" s="36"/>
      <c r="B6147" s="7" t="s">
        <v>39</v>
      </c>
      <c r="C6147" s="15">
        <v>45656</v>
      </c>
      <c r="D6147" s="36"/>
      <c r="E6147" s="7" t="s">
        <v>40</v>
      </c>
      <c r="F6147" s="6"/>
    </row>
    <row r="6148" spans="1:6" ht="15.75" thickBot="1" x14ac:dyDescent="0.3">
      <c r="A6148" s="36"/>
      <c r="B6148" s="7" t="s">
        <v>36</v>
      </c>
      <c r="C6148" s="5">
        <f>IF(C6147="","",IF(AND(MONTH(C6147)&gt;=1,MONTH(C6147)&lt;=3),1,IF(AND(MONTH(C6147)&gt;=4,MONTH(C6147)&lt;=6),2,IF(AND(MONTH(C6147)&gt;=7,MONTH(C6147)&lt;=9),3,4))))</f>
        <v>4</v>
      </c>
      <c r="D6148" s="36"/>
      <c r="E6148" s="7" t="s">
        <v>41</v>
      </c>
      <c r="F6148" s="6"/>
    </row>
    <row r="6149" spans="1:6" ht="15.75" thickBot="1" x14ac:dyDescent="0.3">
      <c r="A6149" s="40"/>
      <c r="B6149" s="40"/>
      <c r="C6149" s="40"/>
      <c r="D6149" s="40"/>
      <c r="E6149" s="40"/>
      <c r="F6149" s="40"/>
    </row>
    <row r="6150" spans="1:6" ht="15.75" thickBot="1" x14ac:dyDescent="0.3">
      <c r="A6150" s="12" t="s">
        <v>42</v>
      </c>
      <c r="B6150" s="12" t="s">
        <v>43</v>
      </c>
      <c r="C6150" s="12" t="s">
        <v>44</v>
      </c>
      <c r="D6150" s="12" t="s">
        <v>45</v>
      </c>
      <c r="E6150" s="12" t="s">
        <v>46</v>
      </c>
      <c r="F6150" s="12" t="s">
        <v>47</v>
      </c>
    </row>
    <row r="6151" spans="1:6" x14ac:dyDescent="0.25">
      <c r="A6151" s="8">
        <v>52161509</v>
      </c>
      <c r="B6151" s="9" t="str">
        <f ca="1">IFERROR(INDEX(UNSPSCDes,MATCH(INDIRECT(ADDRESS(ROW(),COLUMN()-1,4)),UNSPSCCode,0)),"")</f>
        <v>Sistemas de estéreo portátiles</v>
      </c>
      <c r="C6151" s="33" t="s">
        <v>55</v>
      </c>
      <c r="D6151" s="8">
        <v>6</v>
      </c>
      <c r="E6151" s="11">
        <v>12980</v>
      </c>
      <c r="F6151" s="10">
        <f ca="1">INDIRECT(ADDRESS(ROW(),COLUMN()-2,4))*INDIRECT(ADDRESS(ROW(),COLUMN()-1,4))</f>
        <v>77880</v>
      </c>
    </row>
    <row r="6152" spans="1:6" x14ac:dyDescent="0.25">
      <c r="A6152" s="40"/>
      <c r="B6152" s="40"/>
      <c r="C6152" s="40"/>
      <c r="D6152" s="40"/>
      <c r="E6152" s="13" t="s">
        <v>87</v>
      </c>
      <c r="F6152" s="14">
        <f ca="1">SUM(Table389259[MONTO TOTAL ESTIMADO])</f>
        <v>77880</v>
      </c>
    </row>
    <row r="6153" spans="1:6" ht="15.75" thickBot="1" x14ac:dyDescent="0.3">
      <c r="A6153" s="42"/>
      <c r="B6153" s="42"/>
      <c r="C6153" s="42"/>
      <c r="D6153" s="42"/>
      <c r="E6153" s="42"/>
      <c r="F6153" s="42"/>
    </row>
    <row r="6154" spans="1:6" ht="23.25" thickBot="1" x14ac:dyDescent="0.3">
      <c r="A6154" s="4" t="s">
        <v>19</v>
      </c>
      <c r="B6154" s="4" t="s">
        <v>20</v>
      </c>
      <c r="C6154" s="4" t="s">
        <v>21</v>
      </c>
      <c r="D6154" s="4" t="s">
        <v>22</v>
      </c>
      <c r="E6154" s="4" t="s">
        <v>23</v>
      </c>
      <c r="F6154" s="4" t="s">
        <v>24</v>
      </c>
    </row>
    <row r="6155" spans="1:6" ht="15.75" thickBot="1" x14ac:dyDescent="0.3">
      <c r="A6155" s="32" t="s">
        <v>350</v>
      </c>
      <c r="B6155" s="32" t="s">
        <v>351</v>
      </c>
      <c r="C6155" s="32" t="s">
        <v>27</v>
      </c>
      <c r="D6155" s="6" t="s">
        <v>188</v>
      </c>
      <c r="E6155" s="6" t="s">
        <v>262</v>
      </c>
      <c r="F6155" s="6"/>
    </row>
    <row r="6156" spans="1:6" ht="15.75" thickBot="1" x14ac:dyDescent="0.3">
      <c r="A6156" s="35" t="s">
        <v>31</v>
      </c>
      <c r="B6156" s="7" t="s">
        <v>32</v>
      </c>
      <c r="C6156" s="15">
        <v>45566</v>
      </c>
      <c r="D6156" s="35" t="s">
        <v>33</v>
      </c>
      <c r="E6156" s="7" t="s">
        <v>34</v>
      </c>
      <c r="F6156" s="6"/>
    </row>
    <row r="6157" spans="1:6" ht="15.75" thickBot="1" x14ac:dyDescent="0.3">
      <c r="A6157" s="36"/>
      <c r="B6157" s="7" t="s">
        <v>36</v>
      </c>
      <c r="C6157" s="5">
        <f>IF(C6156="","",IF(AND(MONTH(C6156)&gt;=1,MONTH(C6156)&lt;=3),1,IF(AND(MONTH(C6156)&gt;=4,MONTH(C6156)&lt;=6),2,IF(AND(MONTH(C6156)&gt;=7,MONTH(C6156)&lt;=9),3,4))))</f>
        <v>4</v>
      </c>
      <c r="D6157" s="36"/>
      <c r="E6157" s="7" t="s">
        <v>37</v>
      </c>
      <c r="F6157" s="6"/>
    </row>
    <row r="6158" spans="1:6" ht="15.75" thickBot="1" x14ac:dyDescent="0.3">
      <c r="A6158" s="36"/>
      <c r="B6158" s="7" t="s">
        <v>39</v>
      </c>
      <c r="C6158" s="15">
        <v>45656</v>
      </c>
      <c r="D6158" s="36"/>
      <c r="E6158" s="7" t="s">
        <v>40</v>
      </c>
      <c r="F6158" s="6"/>
    </row>
    <row r="6159" spans="1:6" ht="15.75" thickBot="1" x14ac:dyDescent="0.3">
      <c r="A6159" s="36"/>
      <c r="B6159" s="7" t="s">
        <v>36</v>
      </c>
      <c r="C6159" s="5">
        <f>IF(C6158="","",IF(AND(MONTH(C6158)&gt;=1,MONTH(C6158)&lt;=3),1,IF(AND(MONTH(C6158)&gt;=4,MONTH(C6158)&lt;=6),2,IF(AND(MONTH(C6158)&gt;=7,MONTH(C6158)&lt;=9),3,4))))</f>
        <v>4</v>
      </c>
      <c r="D6159" s="36"/>
      <c r="E6159" s="7" t="s">
        <v>41</v>
      </c>
      <c r="F6159" s="6"/>
    </row>
    <row r="6160" spans="1:6" ht="15.75" thickBot="1" x14ac:dyDescent="0.3">
      <c r="A6160" s="40"/>
      <c r="B6160" s="40"/>
      <c r="C6160" s="40"/>
      <c r="D6160" s="40"/>
      <c r="E6160" s="40"/>
      <c r="F6160" s="40"/>
    </row>
    <row r="6161" spans="1:6" ht="15.75" thickBot="1" x14ac:dyDescent="0.3">
      <c r="A6161" s="12" t="s">
        <v>42</v>
      </c>
      <c r="B6161" s="12" t="s">
        <v>43</v>
      </c>
      <c r="C6161" s="12" t="s">
        <v>44</v>
      </c>
      <c r="D6161" s="12" t="s">
        <v>45</v>
      </c>
      <c r="E6161" s="12" t="s">
        <v>46</v>
      </c>
      <c r="F6161" s="12" t="s">
        <v>47</v>
      </c>
    </row>
    <row r="6162" spans="1:6" x14ac:dyDescent="0.25">
      <c r="A6162" s="8">
        <v>52121701</v>
      </c>
      <c r="B6162" s="9" t="str">
        <f ca="1">IFERROR(INDEX(UNSPSCDes,MATCH(INDIRECT(ADDRESS(ROW(),COLUMN()-1,4)),UNSPSCCode,0)),"")</f>
        <v>Toallas de baño</v>
      </c>
      <c r="C6162" s="33" t="s">
        <v>55</v>
      </c>
      <c r="D6162" s="8">
        <v>500</v>
      </c>
      <c r="E6162" s="11">
        <v>2950</v>
      </c>
      <c r="F6162" s="10">
        <f ca="1">INDIRECT(ADDRESS(ROW(),COLUMN()-2,4))*INDIRECT(ADDRESS(ROW(),COLUMN()-1,4))</f>
        <v>1475000</v>
      </c>
    </row>
    <row r="6163" spans="1:6" x14ac:dyDescent="0.25">
      <c r="A6163" s="40"/>
      <c r="B6163" s="40"/>
      <c r="C6163" s="40"/>
      <c r="D6163" s="40"/>
      <c r="E6163" s="13" t="s">
        <v>87</v>
      </c>
      <c r="F6163" s="14">
        <f ca="1">SUM(Table390260[MONTO TOTAL ESTIMADO])</f>
        <v>1475000</v>
      </c>
    </row>
    <row r="6164" spans="1:6" ht="15.75" thickBot="1" x14ac:dyDescent="0.3">
      <c r="A6164" s="42"/>
      <c r="B6164" s="42"/>
      <c r="C6164" s="42"/>
      <c r="D6164" s="42"/>
      <c r="E6164" s="42"/>
      <c r="F6164" s="42"/>
    </row>
    <row r="6165" spans="1:6" ht="23.25" thickBot="1" x14ac:dyDescent="0.3">
      <c r="A6165" s="4" t="s">
        <v>19</v>
      </c>
      <c r="B6165" s="4" t="s">
        <v>20</v>
      </c>
      <c r="C6165" s="4" t="s">
        <v>21</v>
      </c>
      <c r="D6165" s="4" t="s">
        <v>22</v>
      </c>
      <c r="E6165" s="4" t="s">
        <v>23</v>
      </c>
      <c r="F6165" s="4" t="s">
        <v>24</v>
      </c>
    </row>
    <row r="6166" spans="1:6" ht="15.75" thickBot="1" x14ac:dyDescent="0.3">
      <c r="A6166" s="32" t="s">
        <v>353</v>
      </c>
      <c r="B6166" s="32" t="s">
        <v>354</v>
      </c>
      <c r="C6166" s="32" t="s">
        <v>129</v>
      </c>
      <c r="D6166" s="6" t="s">
        <v>28</v>
      </c>
      <c r="E6166" s="6" t="s">
        <v>262</v>
      </c>
      <c r="F6166" s="6"/>
    </row>
    <row r="6167" spans="1:6" ht="15.75" thickBot="1" x14ac:dyDescent="0.3">
      <c r="A6167" s="35" t="s">
        <v>31</v>
      </c>
      <c r="B6167" s="7" t="s">
        <v>32</v>
      </c>
      <c r="C6167" s="15">
        <v>45566</v>
      </c>
      <c r="D6167" s="35" t="s">
        <v>33</v>
      </c>
      <c r="E6167" s="7" t="s">
        <v>34</v>
      </c>
      <c r="F6167" s="6"/>
    </row>
    <row r="6168" spans="1:6" ht="15.75" thickBot="1" x14ac:dyDescent="0.3">
      <c r="A6168" s="36"/>
      <c r="B6168" s="7" t="s">
        <v>36</v>
      </c>
      <c r="C6168" s="5">
        <f>IF(C6167="","",IF(AND(MONTH(C6167)&gt;=1,MONTH(C6167)&lt;=3),1,IF(AND(MONTH(C6167)&gt;=4,MONTH(C6167)&lt;=6),2,IF(AND(MONTH(C6167)&gt;=7,MONTH(C6167)&lt;=9),3,4))))</f>
        <v>4</v>
      </c>
      <c r="D6168" s="36"/>
      <c r="E6168" s="7" t="s">
        <v>37</v>
      </c>
      <c r="F6168" s="6"/>
    </row>
    <row r="6169" spans="1:6" ht="15.75" thickBot="1" x14ac:dyDescent="0.3">
      <c r="A6169" s="36"/>
      <c r="B6169" s="7" t="s">
        <v>39</v>
      </c>
      <c r="C6169" s="15">
        <v>45656</v>
      </c>
      <c r="D6169" s="36"/>
      <c r="E6169" s="7" t="s">
        <v>40</v>
      </c>
      <c r="F6169" s="6"/>
    </row>
    <row r="6170" spans="1:6" ht="15.75" thickBot="1" x14ac:dyDescent="0.3">
      <c r="A6170" s="36"/>
      <c r="B6170" s="7" t="s">
        <v>36</v>
      </c>
      <c r="C6170" s="5">
        <f>IF(C6169="","",IF(AND(MONTH(C6169)&gt;=1,MONTH(C6169)&lt;=3),1,IF(AND(MONTH(C6169)&gt;=4,MONTH(C6169)&lt;=6),2,IF(AND(MONTH(C6169)&gt;=7,MONTH(C6169)&lt;=9),3,4))))</f>
        <v>4</v>
      </c>
      <c r="D6170" s="36"/>
      <c r="E6170" s="7" t="s">
        <v>41</v>
      </c>
      <c r="F6170" s="6"/>
    </row>
    <row r="6171" spans="1:6" ht="15.75" thickBot="1" x14ac:dyDescent="0.3">
      <c r="A6171" s="40"/>
      <c r="B6171" s="40"/>
      <c r="C6171" s="40"/>
      <c r="D6171" s="40"/>
      <c r="E6171" s="40"/>
      <c r="F6171" s="40"/>
    </row>
    <row r="6172" spans="1:6" ht="15.75" thickBot="1" x14ac:dyDescent="0.3">
      <c r="A6172" s="12" t="s">
        <v>42</v>
      </c>
      <c r="B6172" s="12" t="s">
        <v>43</v>
      </c>
      <c r="C6172" s="12" t="s">
        <v>44</v>
      </c>
      <c r="D6172" s="12" t="s">
        <v>45</v>
      </c>
      <c r="E6172" s="12" t="s">
        <v>46</v>
      </c>
      <c r="F6172" s="12" t="s">
        <v>47</v>
      </c>
    </row>
    <row r="6173" spans="1:6" x14ac:dyDescent="0.25">
      <c r="A6173" s="8">
        <v>15101505</v>
      </c>
      <c r="B6173" s="9" t="str">
        <f ca="1">IFERROR(INDEX(UNSPSCDes,MATCH(INDIRECT(ADDRESS(ROW(),COLUMN()-1,4)),UNSPSCCode,0)),"")</f>
        <v>Combustible diesel</v>
      </c>
      <c r="C6173" s="8" t="s">
        <v>92</v>
      </c>
      <c r="D6173" s="8">
        <v>1000</v>
      </c>
      <c r="E6173" s="11">
        <v>293.10000000000002</v>
      </c>
      <c r="F6173" s="10">
        <f ca="1">INDIRECT(ADDRESS(ROW(),COLUMN()-2,4))*INDIRECT(ADDRESS(ROW(),COLUMN()-1,4))</f>
        <v>293100</v>
      </c>
    </row>
    <row r="6174" spans="1:6" x14ac:dyDescent="0.25">
      <c r="A6174" s="40"/>
      <c r="B6174" s="40"/>
      <c r="C6174" s="40"/>
      <c r="D6174" s="40"/>
      <c r="E6174" s="13" t="s">
        <v>87</v>
      </c>
      <c r="F6174" s="14">
        <f ca="1">SUM(Table391261[MONTO TOTAL ESTIMADO])</f>
        <v>293100</v>
      </c>
    </row>
    <row r="6175" spans="1:6" ht="15.75" thickBot="1" x14ac:dyDescent="0.3">
      <c r="A6175" s="42"/>
      <c r="B6175" s="42"/>
      <c r="C6175" s="42"/>
      <c r="D6175" s="42"/>
      <c r="E6175" s="42"/>
      <c r="F6175" s="42"/>
    </row>
    <row r="6176" spans="1:6" ht="23.25" thickBot="1" x14ac:dyDescent="0.3">
      <c r="A6176" s="4" t="s">
        <v>19</v>
      </c>
      <c r="B6176" s="4" t="s">
        <v>20</v>
      </c>
      <c r="C6176" s="4" t="s">
        <v>21</v>
      </c>
      <c r="D6176" s="4" t="s">
        <v>22</v>
      </c>
      <c r="E6176" s="4" t="s">
        <v>23</v>
      </c>
      <c r="F6176" s="4" t="s">
        <v>24</v>
      </c>
    </row>
    <row r="6177" spans="1:6" ht="15.75" thickBot="1" x14ac:dyDescent="0.3">
      <c r="A6177" s="32" t="s">
        <v>355</v>
      </c>
      <c r="B6177" s="32" t="s">
        <v>356</v>
      </c>
      <c r="C6177" s="32" t="s">
        <v>27</v>
      </c>
      <c r="D6177" s="6" t="s">
        <v>28</v>
      </c>
      <c r="E6177" s="32" t="s">
        <v>29</v>
      </c>
      <c r="F6177" s="6"/>
    </row>
    <row r="6178" spans="1:6" ht="15.75" thickBot="1" x14ac:dyDescent="0.3">
      <c r="A6178" s="35" t="s">
        <v>31</v>
      </c>
      <c r="B6178" s="7" t="s">
        <v>32</v>
      </c>
      <c r="C6178" s="15">
        <v>45566</v>
      </c>
      <c r="D6178" s="35" t="s">
        <v>33</v>
      </c>
      <c r="E6178" s="7" t="s">
        <v>34</v>
      </c>
      <c r="F6178" s="6"/>
    </row>
    <row r="6179" spans="1:6" ht="15.75" thickBot="1" x14ac:dyDescent="0.3">
      <c r="A6179" s="36"/>
      <c r="B6179" s="7" t="s">
        <v>36</v>
      </c>
      <c r="C6179" s="5">
        <f>IF(C6178="","",IF(AND(MONTH(C6178)&gt;=1,MONTH(C6178)&lt;=3),1,IF(AND(MONTH(C6178)&gt;=4,MONTH(C6178)&lt;=6),2,IF(AND(MONTH(C6178)&gt;=7,MONTH(C6178)&lt;=9),3,4))))</f>
        <v>4</v>
      </c>
      <c r="D6179" s="36"/>
      <c r="E6179" s="7" t="s">
        <v>37</v>
      </c>
      <c r="F6179" s="6"/>
    </row>
    <row r="6180" spans="1:6" ht="15.75" thickBot="1" x14ac:dyDescent="0.3">
      <c r="A6180" s="36"/>
      <c r="B6180" s="7" t="s">
        <v>39</v>
      </c>
      <c r="C6180" s="15">
        <v>45656</v>
      </c>
      <c r="D6180" s="36"/>
      <c r="E6180" s="7" t="s">
        <v>40</v>
      </c>
      <c r="F6180" s="6"/>
    </row>
    <row r="6181" spans="1:6" ht="15.75" thickBot="1" x14ac:dyDescent="0.3">
      <c r="A6181" s="36"/>
      <c r="B6181" s="7" t="s">
        <v>36</v>
      </c>
      <c r="C6181" s="5">
        <f>IF(C6180="","",IF(AND(MONTH(C6180)&gt;=1,MONTH(C6180)&lt;=3),1,IF(AND(MONTH(C6180)&gt;=4,MONTH(C6180)&lt;=6),2,IF(AND(MONTH(C6180)&gt;=7,MONTH(C6180)&lt;=9),3,4))))</f>
        <v>4</v>
      </c>
      <c r="D6181" s="36"/>
      <c r="E6181" s="7" t="s">
        <v>41</v>
      </c>
      <c r="F6181" s="6"/>
    </row>
    <row r="6182" spans="1:6" ht="15.75" thickBot="1" x14ac:dyDescent="0.3">
      <c r="A6182" s="40"/>
      <c r="B6182" s="40"/>
      <c r="C6182" s="40"/>
      <c r="D6182" s="40"/>
      <c r="E6182" s="40"/>
      <c r="F6182" s="40"/>
    </row>
    <row r="6183" spans="1:6" ht="15.75" thickBot="1" x14ac:dyDescent="0.3">
      <c r="A6183" s="12" t="s">
        <v>42</v>
      </c>
      <c r="B6183" s="12" t="s">
        <v>43</v>
      </c>
      <c r="C6183" s="12" t="s">
        <v>44</v>
      </c>
      <c r="D6183" s="12" t="s">
        <v>45</v>
      </c>
      <c r="E6183" s="12" t="s">
        <v>46</v>
      </c>
      <c r="F6183" s="12" t="s">
        <v>47</v>
      </c>
    </row>
    <row r="6184" spans="1:6" x14ac:dyDescent="0.25">
      <c r="A6184" s="8">
        <v>26121607</v>
      </c>
      <c r="B6184" s="9" t="str">
        <f t="shared" ref="B6184:B6199" ca="1" si="125">IFERROR(INDEX(UNSPSCDes,MATCH(INDIRECT(ADDRESS(ROW(),COLUMN()-1,4)),UNSPSCCode,0)),"")</f>
        <v>Cable de fibra óptica</v>
      </c>
      <c r="C6184" s="8" t="s">
        <v>55</v>
      </c>
      <c r="D6184" s="8">
        <v>4</v>
      </c>
      <c r="E6184" s="11">
        <v>17582</v>
      </c>
      <c r="F6184" s="10">
        <f t="shared" ref="F6184:F6199" ca="1" si="126">INDIRECT(ADDRESS(ROW(),COLUMN()-2,4))*INDIRECT(ADDRESS(ROW(),COLUMN()-1,4))</f>
        <v>70328</v>
      </c>
    </row>
    <row r="6185" spans="1:6" x14ac:dyDescent="0.25">
      <c r="A6185" s="8">
        <v>26121607</v>
      </c>
      <c r="B6185" s="9" t="str">
        <f t="shared" ca="1" si="125"/>
        <v>Cable de fibra óptica</v>
      </c>
      <c r="C6185" s="33" t="s">
        <v>55</v>
      </c>
      <c r="D6185" s="8">
        <v>20</v>
      </c>
      <c r="E6185" s="11">
        <v>1888</v>
      </c>
      <c r="F6185" s="10">
        <f t="shared" ca="1" si="126"/>
        <v>37760</v>
      </c>
    </row>
    <row r="6186" spans="1:6" x14ac:dyDescent="0.25">
      <c r="A6186" s="8">
        <v>26121607</v>
      </c>
      <c r="B6186" s="9" t="str">
        <f t="shared" ca="1" si="125"/>
        <v>Cable de fibra óptica</v>
      </c>
      <c r="C6186" s="33" t="s">
        <v>55</v>
      </c>
      <c r="D6186" s="8">
        <v>12</v>
      </c>
      <c r="E6186" s="11">
        <v>2360</v>
      </c>
      <c r="F6186" s="10">
        <f t="shared" ca="1" si="126"/>
        <v>28320</v>
      </c>
    </row>
    <row r="6187" spans="1:6" x14ac:dyDescent="0.25">
      <c r="A6187" s="8">
        <v>43201553</v>
      </c>
      <c r="B6187" s="9" t="str">
        <f t="shared" ca="1" si="125"/>
        <v>Convertidores de transceptores y medios</v>
      </c>
      <c r="C6187" s="33" t="s">
        <v>55</v>
      </c>
      <c r="D6187" s="8">
        <v>16</v>
      </c>
      <c r="E6187" s="11">
        <v>20768</v>
      </c>
      <c r="F6187" s="10">
        <f t="shared" ca="1" si="126"/>
        <v>332288</v>
      </c>
    </row>
    <row r="6188" spans="1:6" x14ac:dyDescent="0.25">
      <c r="A6188" s="8">
        <v>43201553</v>
      </c>
      <c r="B6188" s="9" t="str">
        <f t="shared" ca="1" si="125"/>
        <v>Convertidores de transceptores y medios</v>
      </c>
      <c r="C6188" s="33" t="s">
        <v>55</v>
      </c>
      <c r="D6188" s="8">
        <v>16</v>
      </c>
      <c r="E6188" s="11">
        <v>7670</v>
      </c>
      <c r="F6188" s="10">
        <f t="shared" ca="1" si="126"/>
        <v>122720</v>
      </c>
    </row>
    <row r="6189" spans="1:6" x14ac:dyDescent="0.25">
      <c r="A6189" s="8">
        <v>26121609</v>
      </c>
      <c r="B6189" s="9" t="str">
        <f t="shared" ca="1" si="125"/>
        <v>Cable de redes</v>
      </c>
      <c r="C6189" s="33" t="s">
        <v>55</v>
      </c>
      <c r="D6189" s="8">
        <v>22</v>
      </c>
      <c r="E6189" s="11">
        <v>5015</v>
      </c>
      <c r="F6189" s="10">
        <f t="shared" ca="1" si="126"/>
        <v>110330</v>
      </c>
    </row>
    <row r="6190" spans="1:6" x14ac:dyDescent="0.25">
      <c r="A6190" s="8">
        <v>26121609</v>
      </c>
      <c r="B6190" s="9" t="str">
        <f t="shared" ca="1" si="125"/>
        <v>Cable de redes</v>
      </c>
      <c r="C6190" s="33" t="s">
        <v>55</v>
      </c>
      <c r="D6190" s="8">
        <v>20</v>
      </c>
      <c r="E6190" s="11">
        <v>2891</v>
      </c>
      <c r="F6190" s="10">
        <f t="shared" ca="1" si="126"/>
        <v>57820</v>
      </c>
    </row>
    <row r="6191" spans="1:6" x14ac:dyDescent="0.25">
      <c r="A6191" s="8">
        <v>47121602</v>
      </c>
      <c r="B6191" s="9" t="str">
        <f t="shared" ca="1" si="125"/>
        <v>Aspiradoras</v>
      </c>
      <c r="C6191" s="33" t="s">
        <v>55</v>
      </c>
      <c r="D6191" s="8">
        <v>2</v>
      </c>
      <c r="E6191" s="11">
        <v>12862</v>
      </c>
      <c r="F6191" s="10">
        <f t="shared" ca="1" si="126"/>
        <v>25724</v>
      </c>
    </row>
    <row r="6192" spans="1:6" x14ac:dyDescent="0.25">
      <c r="A6192" s="8">
        <v>43201807</v>
      </c>
      <c r="B6192" s="9" t="str">
        <f t="shared" ca="1" si="125"/>
        <v>Unidades de cintas</v>
      </c>
      <c r="C6192" s="33" t="s">
        <v>55</v>
      </c>
      <c r="D6192" s="8">
        <v>32</v>
      </c>
      <c r="E6192" s="11">
        <v>5369</v>
      </c>
      <c r="F6192" s="10">
        <f t="shared" ca="1" si="126"/>
        <v>171808</v>
      </c>
    </row>
    <row r="6193" spans="1:6" x14ac:dyDescent="0.25">
      <c r="A6193" s="8">
        <v>43201404</v>
      </c>
      <c r="B6193" s="9" t="str">
        <f t="shared" ca="1" si="125"/>
        <v>Tarjetas de interface de red</v>
      </c>
      <c r="C6193" s="33" t="s">
        <v>55</v>
      </c>
      <c r="D6193" s="8">
        <v>2</v>
      </c>
      <c r="E6193" s="11">
        <v>23434.799999999999</v>
      </c>
      <c r="F6193" s="10">
        <f t="shared" ca="1" si="126"/>
        <v>46869.599999999999</v>
      </c>
    </row>
    <row r="6194" spans="1:6" x14ac:dyDescent="0.25">
      <c r="A6194" s="8">
        <v>43201404</v>
      </c>
      <c r="B6194" s="9" t="str">
        <f t="shared" ca="1" si="125"/>
        <v>Tarjetas de interface de red</v>
      </c>
      <c r="C6194" s="33" t="s">
        <v>55</v>
      </c>
      <c r="D6194" s="8">
        <v>1</v>
      </c>
      <c r="E6194" s="11">
        <v>17700</v>
      </c>
      <c r="F6194" s="10">
        <f t="shared" ca="1" si="126"/>
        <v>17700</v>
      </c>
    </row>
    <row r="6195" spans="1:6" x14ac:dyDescent="0.25">
      <c r="A6195" s="8">
        <v>39121011</v>
      </c>
      <c r="B6195" s="9" t="str">
        <f t="shared" ca="1" si="125"/>
        <v>Fuentes ininterrumpibles de potencia</v>
      </c>
      <c r="C6195" s="33" t="s">
        <v>55</v>
      </c>
      <c r="D6195" s="8">
        <v>2</v>
      </c>
      <c r="E6195" s="11">
        <v>36462</v>
      </c>
      <c r="F6195" s="10">
        <f t="shared" ca="1" si="126"/>
        <v>72924</v>
      </c>
    </row>
    <row r="6196" spans="1:6" x14ac:dyDescent="0.25">
      <c r="A6196" s="8">
        <v>39121702</v>
      </c>
      <c r="B6196" s="9" t="str">
        <f t="shared" ca="1" si="125"/>
        <v>Clips para cables</v>
      </c>
      <c r="C6196" s="33" t="s">
        <v>55</v>
      </c>
      <c r="D6196" s="8">
        <v>2</v>
      </c>
      <c r="E6196" s="11">
        <v>20001</v>
      </c>
      <c r="F6196" s="10">
        <f t="shared" ca="1" si="126"/>
        <v>40002</v>
      </c>
    </row>
    <row r="6197" spans="1:6" x14ac:dyDescent="0.25">
      <c r="A6197" s="8">
        <v>43201538</v>
      </c>
      <c r="B6197" s="9" t="str">
        <f t="shared" ca="1" si="125"/>
        <v>Enfriadores de unidades de procesamiento central</v>
      </c>
      <c r="C6197" s="33" t="s">
        <v>55</v>
      </c>
      <c r="D6197" s="8">
        <v>3</v>
      </c>
      <c r="E6197" s="11">
        <v>7670</v>
      </c>
      <c r="F6197" s="10">
        <f t="shared" ca="1" si="126"/>
        <v>23010</v>
      </c>
    </row>
    <row r="6198" spans="1:6" x14ac:dyDescent="0.25">
      <c r="A6198" s="8">
        <v>43201552</v>
      </c>
      <c r="B6198" s="9" t="str">
        <f t="shared" ca="1" si="125"/>
        <v>Adaptadores para hardware o telefonía</v>
      </c>
      <c r="C6198" s="33" t="s">
        <v>55</v>
      </c>
      <c r="D6198" s="8">
        <v>10</v>
      </c>
      <c r="E6198" s="11">
        <v>2271.5</v>
      </c>
      <c r="F6198" s="10">
        <f t="shared" ca="1" si="126"/>
        <v>22715</v>
      </c>
    </row>
    <row r="6199" spans="1:6" x14ac:dyDescent="0.25">
      <c r="A6199" s="8">
        <v>43201802</v>
      </c>
      <c r="B6199" s="9" t="str">
        <f t="shared" ca="1" si="125"/>
        <v>Series de disco duro</v>
      </c>
      <c r="C6199" s="33" t="s">
        <v>55</v>
      </c>
      <c r="D6199" s="8">
        <v>4</v>
      </c>
      <c r="E6199" s="11">
        <v>18850.5</v>
      </c>
      <c r="F6199" s="10">
        <f t="shared" ca="1" si="126"/>
        <v>75402</v>
      </c>
    </row>
    <row r="6200" spans="1:6" x14ac:dyDescent="0.25">
      <c r="A6200" s="40"/>
      <c r="B6200" s="40"/>
      <c r="C6200" s="40"/>
      <c r="D6200" s="40"/>
      <c r="E6200" s="13" t="s">
        <v>87</v>
      </c>
      <c r="F6200" s="14">
        <f ca="1">SUM(Table392262[MONTO TOTAL ESTIMADO])</f>
        <v>1255720.6000000001</v>
      </c>
    </row>
    <row r="6201" spans="1:6" ht="15.75" thickBot="1" x14ac:dyDescent="0.3">
      <c r="A6201" s="42"/>
      <c r="B6201" s="42"/>
      <c r="C6201" s="42"/>
      <c r="D6201" s="42"/>
      <c r="E6201" s="42"/>
      <c r="F6201" s="42"/>
    </row>
    <row r="6202" spans="1:6" ht="23.25" thickBot="1" x14ac:dyDescent="0.3">
      <c r="A6202" s="4" t="s">
        <v>19</v>
      </c>
      <c r="B6202" s="4" t="s">
        <v>20</v>
      </c>
      <c r="C6202" s="4" t="s">
        <v>21</v>
      </c>
      <c r="D6202" s="4" t="s">
        <v>22</v>
      </c>
      <c r="E6202" s="4" t="s">
        <v>23</v>
      </c>
      <c r="F6202" s="4" t="s">
        <v>24</v>
      </c>
    </row>
    <row r="6203" spans="1:6" ht="15.75" thickBot="1" x14ac:dyDescent="0.3">
      <c r="A6203" s="32" t="s">
        <v>368</v>
      </c>
      <c r="B6203" s="32" t="s">
        <v>369</v>
      </c>
      <c r="C6203" s="32" t="s">
        <v>27</v>
      </c>
      <c r="D6203" s="6" t="s">
        <v>28</v>
      </c>
      <c r="E6203" s="6" t="s">
        <v>262</v>
      </c>
      <c r="F6203" s="6"/>
    </row>
    <row r="6204" spans="1:6" ht="15.75" thickBot="1" x14ac:dyDescent="0.3">
      <c r="A6204" s="35" t="s">
        <v>31</v>
      </c>
      <c r="B6204" s="7" t="s">
        <v>32</v>
      </c>
      <c r="C6204" s="15">
        <v>45566</v>
      </c>
      <c r="D6204" s="35" t="s">
        <v>33</v>
      </c>
      <c r="E6204" s="7" t="s">
        <v>34</v>
      </c>
      <c r="F6204" s="6"/>
    </row>
    <row r="6205" spans="1:6" ht="15.75" thickBot="1" x14ac:dyDescent="0.3">
      <c r="A6205" s="36"/>
      <c r="B6205" s="7" t="s">
        <v>36</v>
      </c>
      <c r="C6205" s="5">
        <f>IF(C6204="","",IF(AND(MONTH(C6204)&gt;=1,MONTH(C6204)&lt;=3),1,IF(AND(MONTH(C6204)&gt;=4,MONTH(C6204)&lt;=6),2,IF(AND(MONTH(C6204)&gt;=7,MONTH(C6204)&lt;=9),3,4))))</f>
        <v>4</v>
      </c>
      <c r="D6205" s="36"/>
      <c r="E6205" s="7" t="s">
        <v>37</v>
      </c>
      <c r="F6205" s="6"/>
    </row>
    <row r="6206" spans="1:6" ht="15.75" thickBot="1" x14ac:dyDescent="0.3">
      <c r="A6206" s="36"/>
      <c r="B6206" s="7" t="s">
        <v>39</v>
      </c>
      <c r="C6206" s="15">
        <v>45656</v>
      </c>
      <c r="D6206" s="36"/>
      <c r="E6206" s="7" t="s">
        <v>40</v>
      </c>
      <c r="F6206" s="6"/>
    </row>
    <row r="6207" spans="1:6" ht="15.75" thickBot="1" x14ac:dyDescent="0.3">
      <c r="A6207" s="36"/>
      <c r="B6207" s="7" t="s">
        <v>36</v>
      </c>
      <c r="C6207" s="5">
        <f>IF(C6206="","",IF(AND(MONTH(C6206)&gt;=1,MONTH(C6206)&lt;=3),1,IF(AND(MONTH(C6206)&gt;=4,MONTH(C6206)&lt;=6),2,IF(AND(MONTH(C6206)&gt;=7,MONTH(C6206)&lt;=9),3,4))))</f>
        <v>4</v>
      </c>
      <c r="D6207" s="36"/>
      <c r="E6207" s="7" t="s">
        <v>41</v>
      </c>
      <c r="F6207" s="6"/>
    </row>
    <row r="6208" spans="1:6" ht="15.75" thickBot="1" x14ac:dyDescent="0.3">
      <c r="A6208" s="40"/>
      <c r="B6208" s="40"/>
      <c r="C6208" s="40"/>
      <c r="D6208" s="40"/>
      <c r="E6208" s="40"/>
      <c r="F6208" s="40"/>
    </row>
    <row r="6209" spans="1:6" ht="15.75" thickBot="1" x14ac:dyDescent="0.3">
      <c r="A6209" s="12" t="s">
        <v>42</v>
      </c>
      <c r="B6209" s="12" t="s">
        <v>43</v>
      </c>
      <c r="C6209" s="12" t="s">
        <v>44</v>
      </c>
      <c r="D6209" s="12" t="s">
        <v>45</v>
      </c>
      <c r="E6209" s="12" t="s">
        <v>46</v>
      </c>
      <c r="F6209" s="12" t="s">
        <v>47</v>
      </c>
    </row>
    <row r="6210" spans="1:6" x14ac:dyDescent="0.25">
      <c r="A6210" s="8">
        <v>44122003</v>
      </c>
      <c r="B6210" s="9" t="str">
        <f t="shared" ref="B6210:B6220" ca="1" si="127">IFERROR(INDEX(UNSPSCDes,MATCH(INDIRECT(ADDRESS(ROW(),COLUMN()-1,4)),UNSPSCCode,0)),"")</f>
        <v>Carpetas</v>
      </c>
      <c r="C6210" s="33" t="s">
        <v>55</v>
      </c>
      <c r="D6210" s="8">
        <v>200</v>
      </c>
      <c r="E6210" s="11">
        <v>185</v>
      </c>
      <c r="F6210" s="10">
        <f t="shared" ref="F6210:F6220" ca="1" si="128">INDIRECT(ADDRESS(ROW(),COLUMN()-2,4))*INDIRECT(ADDRESS(ROW(),COLUMN()-1,4))</f>
        <v>37000</v>
      </c>
    </row>
    <row r="6211" spans="1:6" x14ac:dyDescent="0.25">
      <c r="A6211" s="8">
        <v>44122003</v>
      </c>
      <c r="B6211" s="9" t="str">
        <f t="shared" ca="1" si="127"/>
        <v>Carpetas</v>
      </c>
      <c r="C6211" s="33" t="s">
        <v>55</v>
      </c>
      <c r="D6211" s="8">
        <v>200</v>
      </c>
      <c r="E6211" s="11">
        <v>275</v>
      </c>
      <c r="F6211" s="10">
        <f t="shared" ca="1" si="128"/>
        <v>55000</v>
      </c>
    </row>
    <row r="6212" spans="1:6" x14ac:dyDescent="0.25">
      <c r="A6212" s="8">
        <v>44122003</v>
      </c>
      <c r="B6212" s="9" t="str">
        <f t="shared" ca="1" si="127"/>
        <v>Carpetas</v>
      </c>
      <c r="C6212" s="33" t="s">
        <v>55</v>
      </c>
      <c r="D6212" s="8">
        <v>200</v>
      </c>
      <c r="E6212" s="11">
        <v>422</v>
      </c>
      <c r="F6212" s="10">
        <f t="shared" ca="1" si="128"/>
        <v>84400</v>
      </c>
    </row>
    <row r="6213" spans="1:6" x14ac:dyDescent="0.25">
      <c r="A6213" s="8">
        <v>44122002</v>
      </c>
      <c r="B6213" s="9" t="str">
        <f t="shared" ca="1" si="127"/>
        <v>Protectores de hojas</v>
      </c>
      <c r="C6213" s="8" t="s">
        <v>49</v>
      </c>
      <c r="D6213" s="8">
        <v>500</v>
      </c>
      <c r="E6213" s="11">
        <v>350</v>
      </c>
      <c r="F6213" s="10">
        <f t="shared" ca="1" si="128"/>
        <v>175000</v>
      </c>
    </row>
    <row r="6214" spans="1:6" x14ac:dyDescent="0.25">
      <c r="A6214" s="8">
        <v>44122022</v>
      </c>
      <c r="B6214" s="9" t="str">
        <f t="shared" ca="1" si="127"/>
        <v>Accesorios de carpetas de folders</v>
      </c>
      <c r="C6214" s="33" t="s">
        <v>55</v>
      </c>
      <c r="D6214" s="8">
        <v>500</v>
      </c>
      <c r="E6214" s="11">
        <v>15</v>
      </c>
      <c r="F6214" s="10">
        <f t="shared" ca="1" si="128"/>
        <v>7500</v>
      </c>
    </row>
    <row r="6215" spans="1:6" x14ac:dyDescent="0.25">
      <c r="A6215" s="8">
        <v>44122012</v>
      </c>
      <c r="B6215" s="9" t="str">
        <f t="shared" ca="1" si="127"/>
        <v>Portapapeles</v>
      </c>
      <c r="C6215" s="33" t="s">
        <v>55</v>
      </c>
      <c r="D6215" s="8">
        <v>200</v>
      </c>
      <c r="E6215" s="11">
        <v>250</v>
      </c>
      <c r="F6215" s="10">
        <f t="shared" ca="1" si="128"/>
        <v>50000</v>
      </c>
    </row>
    <row r="6216" spans="1:6" x14ac:dyDescent="0.25">
      <c r="A6216" s="8">
        <v>44122011</v>
      </c>
      <c r="B6216" s="9" t="str">
        <f t="shared" ca="1" si="127"/>
        <v>Folders</v>
      </c>
      <c r="C6216" s="33" t="s">
        <v>49</v>
      </c>
      <c r="D6216" s="8">
        <v>200</v>
      </c>
      <c r="E6216" s="11">
        <v>577.61</v>
      </c>
      <c r="F6216" s="10">
        <f t="shared" ca="1" si="128"/>
        <v>115522</v>
      </c>
    </row>
    <row r="6217" spans="1:6" x14ac:dyDescent="0.25">
      <c r="A6217" s="8">
        <v>44122011</v>
      </c>
      <c r="B6217" s="9" t="str">
        <f t="shared" ca="1" si="127"/>
        <v>Folders</v>
      </c>
      <c r="C6217" s="33" t="s">
        <v>49</v>
      </c>
      <c r="D6217" s="8">
        <v>450</v>
      </c>
      <c r="E6217" s="11">
        <v>250</v>
      </c>
      <c r="F6217" s="10">
        <f t="shared" ca="1" si="128"/>
        <v>112500</v>
      </c>
    </row>
    <row r="6218" spans="1:6" x14ac:dyDescent="0.25">
      <c r="A6218" s="8">
        <v>44122027</v>
      </c>
      <c r="B6218" s="9" t="str">
        <f t="shared" ca="1" si="127"/>
        <v>Folders de archivo expandibles</v>
      </c>
      <c r="C6218" s="33" t="s">
        <v>49</v>
      </c>
      <c r="D6218" s="8">
        <v>25</v>
      </c>
      <c r="E6218" s="11">
        <v>1155.8699999999999</v>
      </c>
      <c r="F6218" s="10">
        <f t="shared" ca="1" si="128"/>
        <v>28896.749999999996</v>
      </c>
    </row>
    <row r="6219" spans="1:6" x14ac:dyDescent="0.25">
      <c r="A6219" s="8">
        <v>44122013</v>
      </c>
      <c r="B6219" s="9" t="str">
        <f t="shared" ca="1" si="127"/>
        <v>Cubiertas para informes</v>
      </c>
      <c r="C6219" s="33" t="s">
        <v>49</v>
      </c>
      <c r="D6219" s="8">
        <v>50</v>
      </c>
      <c r="E6219" s="11">
        <v>650</v>
      </c>
      <c r="F6219" s="10">
        <f t="shared" ca="1" si="128"/>
        <v>32500</v>
      </c>
    </row>
    <row r="6220" spans="1:6" x14ac:dyDescent="0.25">
      <c r="A6220" s="8">
        <v>44122011</v>
      </c>
      <c r="B6220" s="9" t="str">
        <f t="shared" ca="1" si="127"/>
        <v>Folders</v>
      </c>
      <c r="C6220" s="33" t="s">
        <v>49</v>
      </c>
      <c r="D6220" s="8">
        <v>25</v>
      </c>
      <c r="E6220" s="11">
        <v>2000</v>
      </c>
      <c r="F6220" s="10">
        <f t="shared" ca="1" si="128"/>
        <v>50000</v>
      </c>
    </row>
    <row r="6221" spans="1:6" x14ac:dyDescent="0.25">
      <c r="A6221" s="40"/>
      <c r="B6221" s="40"/>
      <c r="C6221" s="40"/>
      <c r="D6221" s="40"/>
      <c r="E6221" s="13" t="s">
        <v>87</v>
      </c>
      <c r="F6221" s="14">
        <f ca="1">SUM(Table393263[MONTO TOTAL ESTIMADO])</f>
        <v>748318.75</v>
      </c>
    </row>
    <row r="6222" spans="1:6" ht="15.75" thickBot="1" x14ac:dyDescent="0.3">
      <c r="A6222" s="42"/>
      <c r="B6222" s="42"/>
      <c r="C6222" s="42"/>
      <c r="D6222" s="42"/>
      <c r="E6222" s="42"/>
      <c r="F6222" s="42"/>
    </row>
    <row r="6223" spans="1:6" ht="23.25" thickBot="1" x14ac:dyDescent="0.3">
      <c r="A6223" s="4" t="s">
        <v>19</v>
      </c>
      <c r="B6223" s="4" t="s">
        <v>20</v>
      </c>
      <c r="C6223" s="4" t="s">
        <v>21</v>
      </c>
      <c r="D6223" s="4" t="s">
        <v>22</v>
      </c>
      <c r="E6223" s="4" t="s">
        <v>23</v>
      </c>
      <c r="F6223" s="4" t="s">
        <v>24</v>
      </c>
    </row>
    <row r="6224" spans="1:6" ht="15.75" thickBot="1" x14ac:dyDescent="0.3">
      <c r="A6224" s="32" t="s">
        <v>373</v>
      </c>
      <c r="B6224" s="32" t="s">
        <v>374</v>
      </c>
      <c r="C6224" s="32" t="s">
        <v>129</v>
      </c>
      <c r="D6224" s="6" t="s">
        <v>28</v>
      </c>
      <c r="E6224" s="6" t="s">
        <v>262</v>
      </c>
      <c r="F6224" s="6"/>
    </row>
    <row r="6225" spans="1:6" ht="15.75" thickBot="1" x14ac:dyDescent="0.3">
      <c r="A6225" s="35" t="s">
        <v>31</v>
      </c>
      <c r="B6225" s="7" t="s">
        <v>32</v>
      </c>
      <c r="C6225" s="15">
        <v>45566</v>
      </c>
      <c r="D6225" s="35" t="s">
        <v>33</v>
      </c>
      <c r="E6225" s="7" t="s">
        <v>34</v>
      </c>
      <c r="F6225" s="6"/>
    </row>
    <row r="6226" spans="1:6" ht="15.75" thickBot="1" x14ac:dyDescent="0.3">
      <c r="A6226" s="36"/>
      <c r="B6226" s="7" t="s">
        <v>36</v>
      </c>
      <c r="C6226" s="5">
        <f>IF(C6225="","",IF(AND(MONTH(C6225)&gt;=1,MONTH(C6225)&lt;=3),1,IF(AND(MONTH(C6225)&gt;=4,MONTH(C6225)&lt;=6),2,IF(AND(MONTH(C6225)&gt;=7,MONTH(C6225)&lt;=9),3,4))))</f>
        <v>4</v>
      </c>
      <c r="D6226" s="36"/>
      <c r="E6226" s="7" t="s">
        <v>37</v>
      </c>
      <c r="F6226" s="6"/>
    </row>
    <row r="6227" spans="1:6" ht="15.75" thickBot="1" x14ac:dyDescent="0.3">
      <c r="A6227" s="36"/>
      <c r="B6227" s="7" t="s">
        <v>39</v>
      </c>
      <c r="C6227" s="15">
        <v>45656</v>
      </c>
      <c r="D6227" s="36"/>
      <c r="E6227" s="7" t="s">
        <v>40</v>
      </c>
      <c r="F6227" s="6"/>
    </row>
    <row r="6228" spans="1:6" ht="15.75" thickBot="1" x14ac:dyDescent="0.3">
      <c r="A6228" s="36"/>
      <c r="B6228" s="7" t="s">
        <v>36</v>
      </c>
      <c r="C6228" s="5">
        <f>IF(C6227="","",IF(AND(MONTH(C6227)&gt;=1,MONTH(C6227)&lt;=3),1,IF(AND(MONTH(C6227)&gt;=4,MONTH(C6227)&lt;=6),2,IF(AND(MONTH(C6227)&gt;=7,MONTH(C6227)&lt;=9),3,4))))</f>
        <v>4</v>
      </c>
      <c r="D6228" s="36"/>
      <c r="E6228" s="7" t="s">
        <v>41</v>
      </c>
      <c r="F6228" s="6"/>
    </row>
    <row r="6229" spans="1:6" ht="15.75" thickBot="1" x14ac:dyDescent="0.3">
      <c r="A6229" s="40"/>
      <c r="B6229" s="40"/>
      <c r="C6229" s="40"/>
      <c r="D6229" s="40"/>
      <c r="E6229" s="40"/>
      <c r="F6229" s="40"/>
    </row>
    <row r="6230" spans="1:6" ht="15.75" thickBot="1" x14ac:dyDescent="0.3">
      <c r="A6230" s="12" t="s">
        <v>42</v>
      </c>
      <c r="B6230" s="12" t="s">
        <v>43</v>
      </c>
      <c r="C6230" s="12" t="s">
        <v>44</v>
      </c>
      <c r="D6230" s="12" t="s">
        <v>45</v>
      </c>
      <c r="E6230" s="12" t="s">
        <v>46</v>
      </c>
      <c r="F6230" s="12" t="s">
        <v>47</v>
      </c>
    </row>
    <row r="6231" spans="1:6" x14ac:dyDescent="0.25">
      <c r="A6231" s="8">
        <v>72101607</v>
      </c>
      <c r="B6231" s="9" t="str">
        <f ca="1">IFERROR(INDEX(UNSPSCDes,MATCH(INDIRECT(ADDRESS(ROW(),COLUMN()-1,4)),UNSPSCCode,0)),"")</f>
        <v>Instalación o reparación de paredes</v>
      </c>
      <c r="C6231" s="8" t="s">
        <v>55</v>
      </c>
      <c r="D6231" s="8">
        <v>1</v>
      </c>
      <c r="E6231" s="11">
        <v>850000</v>
      </c>
      <c r="F6231" s="10">
        <f ca="1">INDIRECT(ADDRESS(ROW(),COLUMN()-2,4))*INDIRECT(ADDRESS(ROW(),COLUMN()-1,4))</f>
        <v>850000</v>
      </c>
    </row>
    <row r="6232" spans="1:6" x14ac:dyDescent="0.25">
      <c r="A6232" s="8">
        <v>72102004</v>
      </c>
      <c r="B6232" s="9" t="str">
        <f ca="1">IFERROR(INDEX(UNSPSCDes,MATCH(INDIRECT(ADDRESS(ROW(),COLUMN()-1,4)),UNSPSCCode,0)),"")</f>
        <v>Impermeabilización</v>
      </c>
      <c r="C6232" s="8" t="s">
        <v>55</v>
      </c>
      <c r="D6232" s="8">
        <v>1</v>
      </c>
      <c r="E6232" s="11">
        <v>850000</v>
      </c>
      <c r="F6232" s="10">
        <f ca="1">INDIRECT(ADDRESS(ROW(),COLUMN()-2,4))*INDIRECT(ADDRESS(ROW(),COLUMN()-1,4))</f>
        <v>850000</v>
      </c>
    </row>
    <row r="6233" spans="1:6" x14ac:dyDescent="0.25">
      <c r="A6233" s="40"/>
      <c r="B6233" s="40"/>
      <c r="C6233" s="40"/>
      <c r="D6233" s="40"/>
      <c r="E6233" s="13" t="s">
        <v>87</v>
      </c>
      <c r="F6233" s="14">
        <f ca="1">SUM(Table394264[MONTO TOTAL ESTIMADO])</f>
        <v>1700000</v>
      </c>
    </row>
    <row r="6234" spans="1:6" ht="15.75" thickBot="1" x14ac:dyDescent="0.3">
      <c r="A6234" s="42"/>
      <c r="B6234" s="42"/>
      <c r="C6234" s="42"/>
      <c r="D6234" s="42"/>
      <c r="E6234" s="42"/>
      <c r="F6234" s="42"/>
    </row>
    <row r="6235" spans="1:6" ht="23.25" thickBot="1" x14ac:dyDescent="0.3">
      <c r="A6235" s="4" t="s">
        <v>19</v>
      </c>
      <c r="B6235" s="4" t="s">
        <v>20</v>
      </c>
      <c r="C6235" s="4" t="s">
        <v>21</v>
      </c>
      <c r="D6235" s="4" t="s">
        <v>22</v>
      </c>
      <c r="E6235" s="4" t="s">
        <v>23</v>
      </c>
      <c r="F6235" s="4" t="s">
        <v>24</v>
      </c>
    </row>
    <row r="6236" spans="1:6" ht="15.75" thickBot="1" x14ac:dyDescent="0.3">
      <c r="A6236" s="32" t="s">
        <v>377</v>
      </c>
      <c r="B6236" s="32" t="s">
        <v>378</v>
      </c>
      <c r="C6236" s="32" t="s">
        <v>129</v>
      </c>
      <c r="D6236" s="6" t="s">
        <v>28</v>
      </c>
      <c r="E6236" s="6" t="s">
        <v>262</v>
      </c>
      <c r="F6236" s="6"/>
    </row>
    <row r="6237" spans="1:6" ht="15.75" thickBot="1" x14ac:dyDescent="0.3">
      <c r="A6237" s="35" t="s">
        <v>31</v>
      </c>
      <c r="B6237" s="7" t="s">
        <v>32</v>
      </c>
      <c r="C6237" s="15">
        <v>45566</v>
      </c>
      <c r="D6237" s="35" t="s">
        <v>33</v>
      </c>
      <c r="E6237" s="7" t="s">
        <v>34</v>
      </c>
      <c r="F6237" s="6"/>
    </row>
    <row r="6238" spans="1:6" ht="15.75" thickBot="1" x14ac:dyDescent="0.3">
      <c r="A6238" s="36"/>
      <c r="B6238" s="7" t="s">
        <v>36</v>
      </c>
      <c r="C6238" s="5">
        <f>IF(C6237="","",IF(AND(MONTH(C6237)&gt;=1,MONTH(C6237)&lt;=3),1,IF(AND(MONTH(C6237)&gt;=4,MONTH(C6237)&lt;=6),2,IF(AND(MONTH(C6237)&gt;=7,MONTH(C6237)&lt;=9),3,4))))</f>
        <v>4</v>
      </c>
      <c r="D6238" s="36"/>
      <c r="E6238" s="7" t="s">
        <v>37</v>
      </c>
      <c r="F6238" s="6"/>
    </row>
    <row r="6239" spans="1:6" ht="15.75" thickBot="1" x14ac:dyDescent="0.3">
      <c r="A6239" s="36"/>
      <c r="B6239" s="7" t="s">
        <v>39</v>
      </c>
      <c r="C6239" s="15">
        <v>45656</v>
      </c>
      <c r="D6239" s="36"/>
      <c r="E6239" s="7" t="s">
        <v>40</v>
      </c>
      <c r="F6239" s="6"/>
    </row>
    <row r="6240" spans="1:6" ht="15.75" thickBot="1" x14ac:dyDescent="0.3">
      <c r="A6240" s="36"/>
      <c r="B6240" s="7" t="s">
        <v>36</v>
      </c>
      <c r="C6240" s="5">
        <f>IF(C6239="","",IF(AND(MONTH(C6239)&gt;=1,MONTH(C6239)&lt;=3),1,IF(AND(MONTH(C6239)&gt;=4,MONTH(C6239)&lt;=6),2,IF(AND(MONTH(C6239)&gt;=7,MONTH(C6239)&lt;=9),3,4))))</f>
        <v>4</v>
      </c>
      <c r="D6240" s="36"/>
      <c r="E6240" s="7" t="s">
        <v>41</v>
      </c>
      <c r="F6240" s="6"/>
    </row>
    <row r="6241" spans="1:6" ht="15.75" thickBot="1" x14ac:dyDescent="0.3">
      <c r="A6241" s="40"/>
      <c r="B6241" s="40"/>
      <c r="C6241" s="40"/>
      <c r="D6241" s="40"/>
      <c r="E6241" s="40"/>
      <c r="F6241" s="40"/>
    </row>
    <row r="6242" spans="1:6" ht="15.75" thickBot="1" x14ac:dyDescent="0.3">
      <c r="A6242" s="12" t="s">
        <v>42</v>
      </c>
      <c r="B6242" s="12" t="s">
        <v>43</v>
      </c>
      <c r="C6242" s="12" t="s">
        <v>44</v>
      </c>
      <c r="D6242" s="12" t="s">
        <v>45</v>
      </c>
      <c r="E6242" s="12" t="s">
        <v>46</v>
      </c>
      <c r="F6242" s="12" t="s">
        <v>47</v>
      </c>
    </row>
    <row r="6243" spans="1:6" x14ac:dyDescent="0.25">
      <c r="A6243" s="8">
        <v>72101510</v>
      </c>
      <c r="B6243" s="9" t="str">
        <f ca="1">IFERROR(INDEX(UNSPSCDes,MATCH(INDIRECT(ADDRESS(ROW(),COLUMN()-1,4)),UNSPSCCode,0)),"")</f>
        <v>Mantenimiento o reparación del sistema de plomería</v>
      </c>
      <c r="C6243" s="8" t="s">
        <v>55</v>
      </c>
      <c r="D6243" s="8">
        <v>1</v>
      </c>
      <c r="E6243" s="11">
        <v>450000</v>
      </c>
      <c r="F6243" s="10">
        <f ca="1">INDIRECT(ADDRESS(ROW(),COLUMN()-2,4))*INDIRECT(ADDRESS(ROW(),COLUMN()-1,4))</f>
        <v>450000</v>
      </c>
    </row>
    <row r="6244" spans="1:6" x14ac:dyDescent="0.25">
      <c r="A6244" s="8">
        <v>72102201</v>
      </c>
      <c r="B6244" s="9" t="str">
        <f ca="1">IFERROR(INDEX(UNSPSCDes,MATCH(INDIRECT(ADDRESS(ROW(),COLUMN()-1,4)),UNSPSCCode,0)),"")</f>
        <v>Instalación o servicio de sistemas de energía eléctrica</v>
      </c>
      <c r="C6244" s="33" t="s">
        <v>55</v>
      </c>
      <c r="D6244" s="8">
        <v>1</v>
      </c>
      <c r="E6244" s="11">
        <v>550000</v>
      </c>
      <c r="F6244" s="10">
        <f ca="1">INDIRECT(ADDRESS(ROW(),COLUMN()-2,4))*INDIRECT(ADDRESS(ROW(),COLUMN()-1,4))</f>
        <v>550000</v>
      </c>
    </row>
    <row r="6245" spans="1:6" x14ac:dyDescent="0.25">
      <c r="A6245" s="40"/>
      <c r="B6245" s="40"/>
      <c r="C6245" s="40"/>
      <c r="D6245" s="40"/>
      <c r="E6245" s="13" t="s">
        <v>87</v>
      </c>
      <c r="F6245" s="14">
        <f ca="1">SUM(Table395265[MONTO TOTAL ESTIMADO])</f>
        <v>1000000</v>
      </c>
    </row>
    <row r="6246" spans="1:6" ht="15.75" thickBot="1" x14ac:dyDescent="0.3">
      <c r="A6246" s="42"/>
      <c r="B6246" s="42"/>
      <c r="C6246" s="42"/>
      <c r="D6246" s="42"/>
      <c r="E6246" s="42"/>
      <c r="F6246" s="42"/>
    </row>
    <row r="6247" spans="1:6" ht="23.25" thickBot="1" x14ac:dyDescent="0.3">
      <c r="A6247" s="4" t="s">
        <v>19</v>
      </c>
      <c r="B6247" s="4" t="s">
        <v>20</v>
      </c>
      <c r="C6247" s="4" t="s">
        <v>21</v>
      </c>
      <c r="D6247" s="4" t="s">
        <v>22</v>
      </c>
      <c r="E6247" s="4" t="s">
        <v>23</v>
      </c>
      <c r="F6247" s="4" t="s">
        <v>24</v>
      </c>
    </row>
    <row r="6248" spans="1:6" ht="15.75" thickBot="1" x14ac:dyDescent="0.3">
      <c r="A6248" s="32" t="s">
        <v>381</v>
      </c>
      <c r="B6248" s="32" t="s">
        <v>382</v>
      </c>
      <c r="C6248" s="32" t="s">
        <v>27</v>
      </c>
      <c r="D6248" s="6" t="s">
        <v>28</v>
      </c>
      <c r="E6248" s="6" t="s">
        <v>262</v>
      </c>
      <c r="F6248" s="6"/>
    </row>
    <row r="6249" spans="1:6" ht="15.75" thickBot="1" x14ac:dyDescent="0.3">
      <c r="A6249" s="35" t="s">
        <v>31</v>
      </c>
      <c r="B6249" s="7" t="s">
        <v>32</v>
      </c>
      <c r="C6249" s="15">
        <v>45566</v>
      </c>
      <c r="D6249" s="35" t="s">
        <v>33</v>
      </c>
      <c r="E6249" s="7" t="s">
        <v>34</v>
      </c>
      <c r="F6249" s="6"/>
    </row>
    <row r="6250" spans="1:6" ht="15.75" thickBot="1" x14ac:dyDescent="0.3">
      <c r="A6250" s="36"/>
      <c r="B6250" s="7" t="s">
        <v>36</v>
      </c>
      <c r="C6250" s="5">
        <f>IF(C6249="","",IF(AND(MONTH(C6249)&gt;=1,MONTH(C6249)&lt;=3),1,IF(AND(MONTH(C6249)&gt;=4,MONTH(C6249)&lt;=6),2,IF(AND(MONTH(C6249)&gt;=7,MONTH(C6249)&lt;=9),3,4))))</f>
        <v>4</v>
      </c>
      <c r="D6250" s="36"/>
      <c r="E6250" s="7" t="s">
        <v>37</v>
      </c>
      <c r="F6250" s="6"/>
    </row>
    <row r="6251" spans="1:6" ht="15.75" thickBot="1" x14ac:dyDescent="0.3">
      <c r="A6251" s="36"/>
      <c r="B6251" s="7" t="s">
        <v>39</v>
      </c>
      <c r="C6251" s="15">
        <v>45656</v>
      </c>
      <c r="D6251" s="36"/>
      <c r="E6251" s="7" t="s">
        <v>40</v>
      </c>
      <c r="F6251" s="6"/>
    </row>
    <row r="6252" spans="1:6" ht="15.75" thickBot="1" x14ac:dyDescent="0.3">
      <c r="A6252" s="36"/>
      <c r="B6252" s="7" t="s">
        <v>36</v>
      </c>
      <c r="C6252" s="5">
        <f>IF(C6251="","",IF(AND(MONTH(C6251)&gt;=1,MONTH(C6251)&lt;=3),1,IF(AND(MONTH(C6251)&gt;=4,MONTH(C6251)&lt;=6),2,IF(AND(MONTH(C6251)&gt;=7,MONTH(C6251)&lt;=9),3,4))))</f>
        <v>4</v>
      </c>
      <c r="D6252" s="36"/>
      <c r="E6252" s="7" t="s">
        <v>41</v>
      </c>
      <c r="F6252" s="6"/>
    </row>
    <row r="6253" spans="1:6" ht="15.75" thickBot="1" x14ac:dyDescent="0.3">
      <c r="A6253" s="40"/>
      <c r="B6253" s="40"/>
      <c r="C6253" s="40"/>
      <c r="D6253" s="40"/>
      <c r="E6253" s="40"/>
      <c r="F6253" s="40"/>
    </row>
    <row r="6254" spans="1:6" ht="15.75" thickBot="1" x14ac:dyDescent="0.3">
      <c r="A6254" s="12" t="s">
        <v>42</v>
      </c>
      <c r="B6254" s="12" t="s">
        <v>43</v>
      </c>
      <c r="C6254" s="12" t="s">
        <v>44</v>
      </c>
      <c r="D6254" s="12" t="s">
        <v>45</v>
      </c>
      <c r="E6254" s="12" t="s">
        <v>46</v>
      </c>
      <c r="F6254" s="12" t="s">
        <v>47</v>
      </c>
    </row>
    <row r="6255" spans="1:6" x14ac:dyDescent="0.25">
      <c r="A6255" s="8">
        <v>53102516</v>
      </c>
      <c r="B6255" s="9" t="str">
        <f ca="1">IFERROR(INDEX(UNSPSCDes,MATCH(INDIRECT(ADDRESS(ROW(),COLUMN()-1,4)),UNSPSCCode,0)),"")</f>
        <v>Gorras</v>
      </c>
      <c r="C6255" s="8" t="s">
        <v>55</v>
      </c>
      <c r="D6255" s="8">
        <v>5000</v>
      </c>
      <c r="E6255" s="11">
        <v>340</v>
      </c>
      <c r="F6255" s="10">
        <f ca="1">INDIRECT(ADDRESS(ROW(),COLUMN()-2,4))*INDIRECT(ADDRESS(ROW(),COLUMN()-1,4))</f>
        <v>1700000</v>
      </c>
    </row>
    <row r="6256" spans="1:6" x14ac:dyDescent="0.25">
      <c r="A6256" s="40"/>
      <c r="B6256" s="40"/>
      <c r="C6256" s="40"/>
      <c r="D6256" s="40"/>
      <c r="E6256" s="13" t="s">
        <v>87</v>
      </c>
      <c r="F6256" s="14">
        <f ca="1">SUM(Table396266[MONTO TOTAL ESTIMADO])</f>
        <v>1700000</v>
      </c>
    </row>
    <row r="6257" spans="1:6" ht="15.75" thickBot="1" x14ac:dyDescent="0.3">
      <c r="A6257" s="42"/>
      <c r="B6257" s="42"/>
      <c r="C6257" s="42"/>
      <c r="D6257" s="42"/>
      <c r="E6257" s="42"/>
      <c r="F6257" s="42"/>
    </row>
    <row r="6258" spans="1:6" ht="23.25" thickBot="1" x14ac:dyDescent="0.3">
      <c r="A6258" s="4" t="s">
        <v>19</v>
      </c>
      <c r="B6258" s="4" t="s">
        <v>20</v>
      </c>
      <c r="C6258" s="4" t="s">
        <v>21</v>
      </c>
      <c r="D6258" s="4" t="s">
        <v>22</v>
      </c>
      <c r="E6258" s="4" t="s">
        <v>23</v>
      </c>
      <c r="F6258" s="4" t="s">
        <v>24</v>
      </c>
    </row>
    <row r="6259" spans="1:6" ht="15.75" thickBot="1" x14ac:dyDescent="0.3">
      <c r="A6259" s="32" t="s">
        <v>383</v>
      </c>
      <c r="B6259" s="32" t="s">
        <v>384</v>
      </c>
      <c r="C6259" s="32" t="s">
        <v>27</v>
      </c>
      <c r="D6259" s="6" t="s">
        <v>28</v>
      </c>
      <c r="E6259" s="6" t="s">
        <v>262</v>
      </c>
      <c r="F6259" s="6"/>
    </row>
    <row r="6260" spans="1:6" ht="15.75" thickBot="1" x14ac:dyDescent="0.3">
      <c r="A6260" s="35" t="s">
        <v>31</v>
      </c>
      <c r="B6260" s="7" t="s">
        <v>32</v>
      </c>
      <c r="C6260" s="15">
        <v>45566</v>
      </c>
      <c r="D6260" s="35" t="s">
        <v>33</v>
      </c>
      <c r="E6260" s="7" t="s">
        <v>34</v>
      </c>
      <c r="F6260" s="6"/>
    </row>
    <row r="6261" spans="1:6" ht="15.75" thickBot="1" x14ac:dyDescent="0.3">
      <c r="A6261" s="36"/>
      <c r="B6261" s="7" t="s">
        <v>36</v>
      </c>
      <c r="C6261" s="5">
        <f>IF(C6260="","",IF(AND(MONTH(C6260)&gt;=1,MONTH(C6260)&lt;=3),1,IF(AND(MONTH(C6260)&gt;=4,MONTH(C6260)&lt;=6),2,IF(AND(MONTH(C6260)&gt;=7,MONTH(C6260)&lt;=9),3,4))))</f>
        <v>4</v>
      </c>
      <c r="D6261" s="36"/>
      <c r="E6261" s="7" t="s">
        <v>37</v>
      </c>
      <c r="F6261" s="6"/>
    </row>
    <row r="6262" spans="1:6" ht="15.75" thickBot="1" x14ac:dyDescent="0.3">
      <c r="A6262" s="36"/>
      <c r="B6262" s="7" t="s">
        <v>39</v>
      </c>
      <c r="C6262" s="15">
        <v>45656</v>
      </c>
      <c r="D6262" s="36"/>
      <c r="E6262" s="7" t="s">
        <v>40</v>
      </c>
      <c r="F6262" s="6"/>
    </row>
    <row r="6263" spans="1:6" ht="15.75" thickBot="1" x14ac:dyDescent="0.3">
      <c r="A6263" s="36"/>
      <c r="B6263" s="7" t="s">
        <v>36</v>
      </c>
      <c r="C6263" s="5">
        <f>IF(C6262="","",IF(AND(MONTH(C6262)&gt;=1,MONTH(C6262)&lt;=3),1,IF(AND(MONTH(C6262)&gt;=4,MONTH(C6262)&lt;=6),2,IF(AND(MONTH(C6262)&gt;=7,MONTH(C6262)&lt;=9),3,4))))</f>
        <v>4</v>
      </c>
      <c r="D6263" s="36"/>
      <c r="E6263" s="7" t="s">
        <v>41</v>
      </c>
      <c r="F6263" s="6"/>
    </row>
    <row r="6264" spans="1:6" ht="15.75" thickBot="1" x14ac:dyDescent="0.3">
      <c r="A6264" s="40"/>
      <c r="B6264" s="40"/>
      <c r="C6264" s="40"/>
      <c r="D6264" s="40"/>
      <c r="E6264" s="40"/>
      <c r="F6264" s="40"/>
    </row>
    <row r="6265" spans="1:6" ht="15.75" thickBot="1" x14ac:dyDescent="0.3">
      <c r="A6265" s="12" t="s">
        <v>42</v>
      </c>
      <c r="B6265" s="12" t="s">
        <v>43</v>
      </c>
      <c r="C6265" s="12" t="s">
        <v>44</v>
      </c>
      <c r="D6265" s="12" t="s">
        <v>45</v>
      </c>
      <c r="E6265" s="12" t="s">
        <v>46</v>
      </c>
      <c r="F6265" s="12" t="s">
        <v>47</v>
      </c>
    </row>
    <row r="6266" spans="1:6" x14ac:dyDescent="0.25">
      <c r="A6266" s="8">
        <v>53103001</v>
      </c>
      <c r="B6266" s="9" t="str">
        <f ca="1">IFERROR(INDEX(UNSPSCDes,MATCH(INDIRECT(ADDRESS(ROW(),COLUMN()-1,4)),UNSPSCCode,0)),"")</f>
        <v>Camisetas (t-shirts)</v>
      </c>
      <c r="C6266" s="33" t="s">
        <v>55</v>
      </c>
      <c r="D6266" s="8">
        <v>5000</v>
      </c>
      <c r="E6266" s="11">
        <v>340</v>
      </c>
      <c r="F6266" s="10">
        <f ca="1">INDIRECT(ADDRESS(ROW(),COLUMN()-2,4))*INDIRECT(ADDRESS(ROW(),COLUMN()-1,4))</f>
        <v>1700000</v>
      </c>
    </row>
    <row r="6267" spans="1:6" x14ac:dyDescent="0.25">
      <c r="A6267" s="40"/>
      <c r="B6267" s="40"/>
      <c r="C6267" s="40"/>
      <c r="D6267" s="40"/>
      <c r="E6267" s="13" t="s">
        <v>87</v>
      </c>
      <c r="F6267" s="14">
        <f ca="1">SUM(Table397267[MONTO TOTAL ESTIMADO])</f>
        <v>1700000</v>
      </c>
    </row>
    <row r="6268" spans="1:6" ht="15.75" thickBot="1" x14ac:dyDescent="0.3">
      <c r="A6268" s="42"/>
      <c r="B6268" s="42"/>
      <c r="C6268" s="42"/>
      <c r="D6268" s="42"/>
      <c r="E6268" s="42"/>
      <c r="F6268" s="42"/>
    </row>
    <row r="6269" spans="1:6" ht="23.25" thickBot="1" x14ac:dyDescent="0.3">
      <c r="A6269" s="4" t="s">
        <v>19</v>
      </c>
      <c r="B6269" s="4" t="s">
        <v>20</v>
      </c>
      <c r="C6269" s="4" t="s">
        <v>21</v>
      </c>
      <c r="D6269" s="4" t="s">
        <v>22</v>
      </c>
      <c r="E6269" s="4" t="s">
        <v>23</v>
      </c>
      <c r="F6269" s="4" t="s">
        <v>24</v>
      </c>
    </row>
    <row r="6270" spans="1:6" ht="15.75" thickBot="1" x14ac:dyDescent="0.3">
      <c r="A6270" s="32" t="s">
        <v>385</v>
      </c>
      <c r="B6270" s="32" t="s">
        <v>386</v>
      </c>
      <c r="C6270" s="32" t="s">
        <v>27</v>
      </c>
      <c r="D6270" s="6" t="s">
        <v>28</v>
      </c>
      <c r="E6270" s="6" t="s">
        <v>262</v>
      </c>
      <c r="F6270" s="6"/>
    </row>
    <row r="6271" spans="1:6" ht="15.75" thickBot="1" x14ac:dyDescent="0.3">
      <c r="A6271" s="35" t="s">
        <v>31</v>
      </c>
      <c r="B6271" s="7" t="s">
        <v>32</v>
      </c>
      <c r="C6271" s="15">
        <v>45566</v>
      </c>
      <c r="D6271" s="35" t="s">
        <v>33</v>
      </c>
      <c r="E6271" s="7" t="s">
        <v>34</v>
      </c>
      <c r="F6271" s="6"/>
    </row>
    <row r="6272" spans="1:6" ht="15.75" thickBot="1" x14ac:dyDescent="0.3">
      <c r="A6272" s="36"/>
      <c r="B6272" s="7" t="s">
        <v>36</v>
      </c>
      <c r="C6272" s="5">
        <f>IF(C6271="","",IF(AND(MONTH(C6271)&gt;=1,MONTH(C6271)&lt;=3),1,IF(AND(MONTH(C6271)&gt;=4,MONTH(C6271)&lt;=6),2,IF(AND(MONTH(C6271)&gt;=7,MONTH(C6271)&lt;=9),3,4))))</f>
        <v>4</v>
      </c>
      <c r="D6272" s="36"/>
      <c r="E6272" s="7" t="s">
        <v>37</v>
      </c>
      <c r="F6272" s="6"/>
    </row>
    <row r="6273" spans="1:6" ht="15.75" thickBot="1" x14ac:dyDescent="0.3">
      <c r="A6273" s="36"/>
      <c r="B6273" s="7" t="s">
        <v>39</v>
      </c>
      <c r="C6273" s="15">
        <v>45656</v>
      </c>
      <c r="D6273" s="36"/>
      <c r="E6273" s="7" t="s">
        <v>40</v>
      </c>
      <c r="F6273" s="6"/>
    </row>
    <row r="6274" spans="1:6" ht="15.75" thickBot="1" x14ac:dyDescent="0.3">
      <c r="A6274" s="36"/>
      <c r="B6274" s="7" t="s">
        <v>36</v>
      </c>
      <c r="C6274" s="5">
        <f>IF(C6273="","",IF(AND(MONTH(C6273)&gt;=1,MONTH(C6273)&lt;=3),1,IF(AND(MONTH(C6273)&gt;=4,MONTH(C6273)&lt;=6),2,IF(AND(MONTH(C6273)&gt;=7,MONTH(C6273)&lt;=9),3,4))))</f>
        <v>4</v>
      </c>
      <c r="D6274" s="36"/>
      <c r="E6274" s="7" t="s">
        <v>41</v>
      </c>
      <c r="F6274" s="6"/>
    </row>
    <row r="6275" spans="1:6" ht="15.75" thickBot="1" x14ac:dyDescent="0.3">
      <c r="A6275" s="40"/>
      <c r="B6275" s="40"/>
      <c r="C6275" s="40"/>
      <c r="D6275" s="40"/>
      <c r="E6275" s="40"/>
      <c r="F6275" s="40"/>
    </row>
    <row r="6276" spans="1:6" ht="15.75" thickBot="1" x14ac:dyDescent="0.3">
      <c r="A6276" s="12" t="s">
        <v>42</v>
      </c>
      <c r="B6276" s="12" t="s">
        <v>43</v>
      </c>
      <c r="C6276" s="12" t="s">
        <v>44</v>
      </c>
      <c r="D6276" s="12" t="s">
        <v>45</v>
      </c>
      <c r="E6276" s="12" t="s">
        <v>46</v>
      </c>
      <c r="F6276" s="12" t="s">
        <v>47</v>
      </c>
    </row>
    <row r="6277" spans="1:6" x14ac:dyDescent="0.25">
      <c r="A6277" s="8">
        <v>53102516</v>
      </c>
      <c r="B6277" s="9" t="str">
        <f ca="1">IFERROR(INDEX(UNSPSCDes,MATCH(INDIRECT(ADDRESS(ROW(),COLUMN()-1,4)),UNSPSCCode,0)),"")</f>
        <v>Gorras</v>
      </c>
      <c r="C6277" s="8" t="s">
        <v>55</v>
      </c>
      <c r="D6277" s="8">
        <v>5000</v>
      </c>
      <c r="E6277" s="11">
        <v>340</v>
      </c>
      <c r="F6277" s="10">
        <f ca="1">INDIRECT(ADDRESS(ROW(),COLUMN()-2,4))*INDIRECT(ADDRESS(ROW(),COLUMN()-1,4))</f>
        <v>1700000</v>
      </c>
    </row>
    <row r="6278" spans="1:6" x14ac:dyDescent="0.25">
      <c r="A6278" s="40"/>
      <c r="B6278" s="40"/>
      <c r="C6278" s="40"/>
      <c r="D6278" s="40"/>
      <c r="E6278" s="13" t="s">
        <v>87</v>
      </c>
      <c r="F6278" s="14">
        <f ca="1">SUM(Table398268[MONTO TOTAL ESTIMADO])</f>
        <v>1700000</v>
      </c>
    </row>
    <row r="6279" spans="1:6" ht="15.75" thickBot="1" x14ac:dyDescent="0.3">
      <c r="A6279" s="42"/>
      <c r="B6279" s="42"/>
      <c r="C6279" s="42"/>
      <c r="D6279" s="42"/>
      <c r="E6279" s="42"/>
      <c r="F6279" s="42"/>
    </row>
    <row r="6280" spans="1:6" ht="23.25" thickBot="1" x14ac:dyDescent="0.3">
      <c r="A6280" s="4" t="s">
        <v>19</v>
      </c>
      <c r="B6280" s="4" t="s">
        <v>20</v>
      </c>
      <c r="C6280" s="4" t="s">
        <v>21</v>
      </c>
      <c r="D6280" s="4" t="s">
        <v>22</v>
      </c>
      <c r="E6280" s="4" t="s">
        <v>23</v>
      </c>
      <c r="F6280" s="4" t="s">
        <v>24</v>
      </c>
    </row>
    <row r="6281" spans="1:6" ht="15.75" thickBot="1" x14ac:dyDescent="0.3">
      <c r="A6281" s="32" t="s">
        <v>387</v>
      </c>
      <c r="B6281" s="32" t="s">
        <v>388</v>
      </c>
      <c r="C6281" s="32" t="s">
        <v>27</v>
      </c>
      <c r="D6281" s="6" t="s">
        <v>28</v>
      </c>
      <c r="E6281" s="6" t="s">
        <v>262</v>
      </c>
      <c r="F6281" s="6"/>
    </row>
    <row r="6282" spans="1:6" ht="15.75" thickBot="1" x14ac:dyDescent="0.3">
      <c r="A6282" s="35" t="s">
        <v>31</v>
      </c>
      <c r="B6282" s="7" t="s">
        <v>32</v>
      </c>
      <c r="C6282" s="15">
        <v>45566</v>
      </c>
      <c r="D6282" s="35" t="s">
        <v>33</v>
      </c>
      <c r="E6282" s="7" t="s">
        <v>34</v>
      </c>
      <c r="F6282" s="6"/>
    </row>
    <row r="6283" spans="1:6" ht="15.75" thickBot="1" x14ac:dyDescent="0.3">
      <c r="A6283" s="36"/>
      <c r="B6283" s="7" t="s">
        <v>36</v>
      </c>
      <c r="C6283" s="5">
        <f>IF(C6282="","",IF(AND(MONTH(C6282)&gt;=1,MONTH(C6282)&lt;=3),1,IF(AND(MONTH(C6282)&gt;=4,MONTH(C6282)&lt;=6),2,IF(AND(MONTH(C6282)&gt;=7,MONTH(C6282)&lt;=9),3,4))))</f>
        <v>4</v>
      </c>
      <c r="D6283" s="36"/>
      <c r="E6283" s="7" t="s">
        <v>37</v>
      </c>
      <c r="F6283" s="6"/>
    </row>
    <row r="6284" spans="1:6" ht="15.75" thickBot="1" x14ac:dyDescent="0.3">
      <c r="A6284" s="36"/>
      <c r="B6284" s="7" t="s">
        <v>39</v>
      </c>
      <c r="C6284" s="15">
        <v>45656</v>
      </c>
      <c r="D6284" s="36"/>
      <c r="E6284" s="7" t="s">
        <v>40</v>
      </c>
      <c r="F6284" s="6"/>
    </row>
    <row r="6285" spans="1:6" ht="15.75" thickBot="1" x14ac:dyDescent="0.3">
      <c r="A6285" s="36"/>
      <c r="B6285" s="7" t="s">
        <v>36</v>
      </c>
      <c r="C6285" s="5">
        <f>IF(C6284="","",IF(AND(MONTH(C6284)&gt;=1,MONTH(C6284)&lt;=3),1,IF(AND(MONTH(C6284)&gt;=4,MONTH(C6284)&lt;=6),2,IF(AND(MONTH(C6284)&gt;=7,MONTH(C6284)&lt;=9),3,4))))</f>
        <v>4</v>
      </c>
      <c r="D6285" s="36"/>
      <c r="E6285" s="7" t="s">
        <v>41</v>
      </c>
      <c r="F6285" s="6"/>
    </row>
    <row r="6286" spans="1:6" ht="15.75" thickBot="1" x14ac:dyDescent="0.3">
      <c r="A6286" s="40"/>
      <c r="B6286" s="40"/>
      <c r="C6286" s="40"/>
      <c r="D6286" s="40"/>
      <c r="E6286" s="40"/>
      <c r="F6286" s="40"/>
    </row>
    <row r="6287" spans="1:6" ht="15.75" thickBot="1" x14ac:dyDescent="0.3">
      <c r="A6287" s="12" t="s">
        <v>42</v>
      </c>
      <c r="B6287" s="12" t="s">
        <v>43</v>
      </c>
      <c r="C6287" s="12" t="s">
        <v>44</v>
      </c>
      <c r="D6287" s="12" t="s">
        <v>45</v>
      </c>
      <c r="E6287" s="12" t="s">
        <v>46</v>
      </c>
      <c r="F6287" s="12" t="s">
        <v>47</v>
      </c>
    </row>
    <row r="6288" spans="1:6" x14ac:dyDescent="0.25">
      <c r="A6288" s="8">
        <v>53103001</v>
      </c>
      <c r="B6288" s="9" t="str">
        <f ca="1">IFERROR(INDEX(UNSPSCDes,MATCH(INDIRECT(ADDRESS(ROW(),COLUMN()-1,4)),UNSPSCCode,0)),"")</f>
        <v>Camisetas (t-shirts)</v>
      </c>
      <c r="C6288" s="33" t="s">
        <v>55</v>
      </c>
      <c r="D6288" s="8">
        <v>5000</v>
      </c>
      <c r="E6288" s="11">
        <v>340</v>
      </c>
      <c r="F6288" s="10">
        <f ca="1">INDIRECT(ADDRESS(ROW(),COLUMN()-2,4))*INDIRECT(ADDRESS(ROW(),COLUMN()-1,4))</f>
        <v>1700000</v>
      </c>
    </row>
    <row r="6289" spans="1:6" x14ac:dyDescent="0.25">
      <c r="A6289" s="40"/>
      <c r="B6289" s="40"/>
      <c r="C6289" s="40"/>
      <c r="D6289" s="40"/>
      <c r="E6289" s="13" t="s">
        <v>87</v>
      </c>
      <c r="F6289" s="14">
        <f ca="1">SUM(Table399269[MONTO TOTAL ESTIMADO])</f>
        <v>1700000</v>
      </c>
    </row>
    <row r="6290" spans="1:6" ht="15.75" thickBot="1" x14ac:dyDescent="0.3">
      <c r="A6290" s="42"/>
      <c r="B6290" s="42"/>
      <c r="C6290" s="42"/>
      <c r="D6290" s="42"/>
      <c r="E6290" s="42"/>
      <c r="F6290" s="42"/>
    </row>
    <row r="6291" spans="1:6" ht="23.25" thickBot="1" x14ac:dyDescent="0.3">
      <c r="A6291" s="4" t="s">
        <v>19</v>
      </c>
      <c r="B6291" s="4" t="s">
        <v>20</v>
      </c>
      <c r="C6291" s="4" t="s">
        <v>21</v>
      </c>
      <c r="D6291" s="4" t="s">
        <v>22</v>
      </c>
      <c r="E6291" s="4" t="s">
        <v>23</v>
      </c>
      <c r="F6291" s="4" t="s">
        <v>24</v>
      </c>
    </row>
    <row r="6292" spans="1:6" ht="15.75" thickBot="1" x14ac:dyDescent="0.3">
      <c r="A6292" s="32" t="s">
        <v>389</v>
      </c>
      <c r="B6292" s="32" t="s">
        <v>390</v>
      </c>
      <c r="C6292" s="32" t="s">
        <v>27</v>
      </c>
      <c r="D6292" s="6" t="s">
        <v>28</v>
      </c>
      <c r="E6292" s="6" t="s">
        <v>262</v>
      </c>
      <c r="F6292" s="6"/>
    </row>
    <row r="6293" spans="1:6" ht="15.75" thickBot="1" x14ac:dyDescent="0.3">
      <c r="A6293" s="35" t="s">
        <v>31</v>
      </c>
      <c r="B6293" s="7" t="s">
        <v>32</v>
      </c>
      <c r="C6293" s="15">
        <v>45566</v>
      </c>
      <c r="D6293" s="35" t="s">
        <v>33</v>
      </c>
      <c r="E6293" s="7" t="s">
        <v>34</v>
      </c>
      <c r="F6293" s="6"/>
    </row>
    <row r="6294" spans="1:6" ht="15.75" thickBot="1" x14ac:dyDescent="0.3">
      <c r="A6294" s="36"/>
      <c r="B6294" s="7" t="s">
        <v>36</v>
      </c>
      <c r="C6294" s="5">
        <f>IF(C6293="","",IF(AND(MONTH(C6293)&gt;=1,MONTH(C6293)&lt;=3),1,IF(AND(MONTH(C6293)&gt;=4,MONTH(C6293)&lt;=6),2,IF(AND(MONTH(C6293)&gt;=7,MONTH(C6293)&lt;=9),3,4))))</f>
        <v>4</v>
      </c>
      <c r="D6294" s="36"/>
      <c r="E6294" s="7" t="s">
        <v>37</v>
      </c>
      <c r="F6294" s="6"/>
    </row>
    <row r="6295" spans="1:6" ht="15.75" thickBot="1" x14ac:dyDescent="0.3">
      <c r="A6295" s="36"/>
      <c r="B6295" s="7" t="s">
        <v>39</v>
      </c>
      <c r="C6295" s="15">
        <v>45656</v>
      </c>
      <c r="D6295" s="36"/>
      <c r="E6295" s="7" t="s">
        <v>40</v>
      </c>
      <c r="F6295" s="6"/>
    </row>
    <row r="6296" spans="1:6" ht="15.75" thickBot="1" x14ac:dyDescent="0.3">
      <c r="A6296" s="36"/>
      <c r="B6296" s="7" t="s">
        <v>36</v>
      </c>
      <c r="C6296" s="5">
        <f>IF(C6295="","",IF(AND(MONTH(C6295)&gt;=1,MONTH(C6295)&lt;=3),1,IF(AND(MONTH(C6295)&gt;=4,MONTH(C6295)&lt;=6),2,IF(AND(MONTH(C6295)&gt;=7,MONTH(C6295)&lt;=9),3,4))))</f>
        <v>4</v>
      </c>
      <c r="D6296" s="36"/>
      <c r="E6296" s="7" t="s">
        <v>41</v>
      </c>
      <c r="F6296" s="6"/>
    </row>
    <row r="6297" spans="1:6" ht="15.75" thickBot="1" x14ac:dyDescent="0.3">
      <c r="A6297" s="40"/>
      <c r="B6297" s="40"/>
      <c r="C6297" s="40"/>
      <c r="D6297" s="40"/>
      <c r="E6297" s="40"/>
      <c r="F6297" s="40"/>
    </row>
    <row r="6298" spans="1:6" ht="15.75" thickBot="1" x14ac:dyDescent="0.3">
      <c r="A6298" s="12" t="s">
        <v>42</v>
      </c>
      <c r="B6298" s="12" t="s">
        <v>43</v>
      </c>
      <c r="C6298" s="12" t="s">
        <v>44</v>
      </c>
      <c r="D6298" s="12" t="s">
        <v>45</v>
      </c>
      <c r="E6298" s="12" t="s">
        <v>46</v>
      </c>
      <c r="F6298" s="12" t="s">
        <v>47</v>
      </c>
    </row>
    <row r="6299" spans="1:6" x14ac:dyDescent="0.25">
      <c r="A6299" s="8">
        <v>53121608</v>
      </c>
      <c r="B6299" s="9" t="str">
        <f ca="1">IFERROR(INDEX(UNSPSCDes,MATCH(INDIRECT(ADDRESS(ROW(),COLUMN()-1,4)),UNSPSCCode,0)),"")</f>
        <v>Bolsas para compras</v>
      </c>
      <c r="C6299" s="33" t="s">
        <v>55</v>
      </c>
      <c r="D6299" s="8">
        <v>5000</v>
      </c>
      <c r="E6299" s="11">
        <v>340</v>
      </c>
      <c r="F6299" s="10">
        <f ca="1">INDIRECT(ADDRESS(ROW(),COLUMN()-2,4))*INDIRECT(ADDRESS(ROW(),COLUMN()-1,4))</f>
        <v>1700000</v>
      </c>
    </row>
    <row r="6300" spans="1:6" x14ac:dyDescent="0.25">
      <c r="A6300" s="40"/>
      <c r="B6300" s="40"/>
      <c r="C6300" s="40"/>
      <c r="D6300" s="40"/>
      <c r="E6300" s="13" t="s">
        <v>87</v>
      </c>
      <c r="F6300" s="14">
        <f ca="1">SUM(Table3100270[MONTO TOTAL ESTIMADO])</f>
        <v>1700000</v>
      </c>
    </row>
    <row r="6301" spans="1:6" ht="15.75" thickBot="1" x14ac:dyDescent="0.3">
      <c r="A6301" s="42"/>
      <c r="B6301" s="42"/>
      <c r="C6301" s="42"/>
      <c r="D6301" s="42"/>
      <c r="E6301" s="42"/>
      <c r="F6301" s="42"/>
    </row>
    <row r="6302" spans="1:6" ht="23.25" thickBot="1" x14ac:dyDescent="0.3">
      <c r="A6302" s="4" t="s">
        <v>19</v>
      </c>
      <c r="B6302" s="4" t="s">
        <v>20</v>
      </c>
      <c r="C6302" s="4" t="s">
        <v>21</v>
      </c>
      <c r="D6302" s="4" t="s">
        <v>22</v>
      </c>
      <c r="E6302" s="4" t="s">
        <v>23</v>
      </c>
      <c r="F6302" s="4" t="s">
        <v>24</v>
      </c>
    </row>
    <row r="6303" spans="1:6" ht="15.75" thickBot="1" x14ac:dyDescent="0.3">
      <c r="A6303" s="32" t="s">
        <v>256</v>
      </c>
      <c r="B6303" s="32" t="s">
        <v>392</v>
      </c>
      <c r="C6303" s="32" t="s">
        <v>129</v>
      </c>
      <c r="D6303" s="6" t="s">
        <v>130</v>
      </c>
      <c r="E6303" s="32" t="s">
        <v>29</v>
      </c>
      <c r="F6303" s="6"/>
    </row>
    <row r="6304" spans="1:6" ht="15.75" thickBot="1" x14ac:dyDescent="0.3">
      <c r="A6304" s="35" t="s">
        <v>31</v>
      </c>
      <c r="B6304" s="7" t="s">
        <v>32</v>
      </c>
      <c r="C6304" s="15">
        <v>45566</v>
      </c>
      <c r="D6304" s="35" t="s">
        <v>33</v>
      </c>
      <c r="E6304" s="7" t="s">
        <v>34</v>
      </c>
      <c r="F6304" s="6"/>
    </row>
    <row r="6305" spans="1:6" ht="15.75" thickBot="1" x14ac:dyDescent="0.3">
      <c r="A6305" s="36"/>
      <c r="B6305" s="7" t="s">
        <v>36</v>
      </c>
      <c r="C6305" s="5">
        <f>IF(C6304="","",IF(AND(MONTH(C6304)&gt;=1,MONTH(C6304)&lt;=3),1,IF(AND(MONTH(C6304)&gt;=4,MONTH(C6304)&lt;=6),2,IF(AND(MONTH(C6304)&gt;=7,MONTH(C6304)&lt;=9),3,4))))</f>
        <v>4</v>
      </c>
      <c r="D6305" s="36"/>
      <c r="E6305" s="7" t="s">
        <v>37</v>
      </c>
      <c r="F6305" s="6"/>
    </row>
    <row r="6306" spans="1:6" ht="15.75" thickBot="1" x14ac:dyDescent="0.3">
      <c r="A6306" s="36"/>
      <c r="B6306" s="7" t="s">
        <v>39</v>
      </c>
      <c r="C6306" s="15">
        <v>45656</v>
      </c>
      <c r="D6306" s="36"/>
      <c r="E6306" s="7" t="s">
        <v>40</v>
      </c>
      <c r="F6306" s="6"/>
    </row>
    <row r="6307" spans="1:6" ht="15.75" thickBot="1" x14ac:dyDescent="0.3">
      <c r="A6307" s="36"/>
      <c r="B6307" s="7" t="s">
        <v>36</v>
      </c>
      <c r="C6307" s="5">
        <f>IF(C6306="","",IF(AND(MONTH(C6306)&gt;=1,MONTH(C6306)&lt;=3),1,IF(AND(MONTH(C6306)&gt;=4,MONTH(C6306)&lt;=6),2,IF(AND(MONTH(C6306)&gt;=7,MONTH(C6306)&lt;=9),3,4))))</f>
        <v>4</v>
      </c>
      <c r="D6307" s="36"/>
      <c r="E6307" s="7" t="s">
        <v>41</v>
      </c>
      <c r="F6307" s="6"/>
    </row>
    <row r="6308" spans="1:6" ht="15.75" thickBot="1" x14ac:dyDescent="0.3">
      <c r="A6308" s="40"/>
      <c r="B6308" s="40"/>
      <c r="C6308" s="40"/>
      <c r="D6308" s="40"/>
      <c r="E6308" s="40"/>
      <c r="F6308" s="40"/>
    </row>
    <row r="6309" spans="1:6" ht="15.75" thickBot="1" x14ac:dyDescent="0.3">
      <c r="A6309" s="12" t="s">
        <v>42</v>
      </c>
      <c r="B6309" s="12" t="s">
        <v>43</v>
      </c>
      <c r="C6309" s="12" t="s">
        <v>44</v>
      </c>
      <c r="D6309" s="12" t="s">
        <v>45</v>
      </c>
      <c r="E6309" s="12" t="s">
        <v>46</v>
      </c>
      <c r="F6309" s="12" t="s">
        <v>47</v>
      </c>
    </row>
    <row r="6310" spans="1:6" x14ac:dyDescent="0.25">
      <c r="A6310" s="8">
        <v>82101602</v>
      </c>
      <c r="B6310" s="9" t="str">
        <f ca="1">IFERROR(INDEX(UNSPSCDes,MATCH(INDIRECT(ADDRESS(ROW(),COLUMN()-1,4)),UNSPSCCode,0)),"")</f>
        <v>Publicidad en televisión</v>
      </c>
      <c r="C6310" s="8" t="s">
        <v>55</v>
      </c>
      <c r="D6310" s="8">
        <v>1</v>
      </c>
      <c r="E6310" s="11">
        <v>20000000</v>
      </c>
      <c r="F6310" s="10">
        <f ca="1">INDIRECT(ADDRESS(ROW(),COLUMN()-2,4))*INDIRECT(ADDRESS(ROW(),COLUMN()-1,4))</f>
        <v>20000000</v>
      </c>
    </row>
    <row r="6311" spans="1:6" x14ac:dyDescent="0.25">
      <c r="A6311" s="8">
        <v>82101601</v>
      </c>
      <c r="B6311" s="9" t="str">
        <f ca="1">IFERROR(INDEX(UNSPSCDes,MATCH(INDIRECT(ADDRESS(ROW(),COLUMN()-1,4)),UNSPSCCode,0)),"")</f>
        <v>Publicidad en radio</v>
      </c>
      <c r="C6311" s="33" t="s">
        <v>55</v>
      </c>
      <c r="D6311" s="8">
        <v>1</v>
      </c>
      <c r="E6311" s="11">
        <v>20000000</v>
      </c>
      <c r="F6311" s="10">
        <f ca="1">INDIRECT(ADDRESS(ROW(),COLUMN()-2,4))*INDIRECT(ADDRESS(ROW(),COLUMN()-1,4))</f>
        <v>20000000</v>
      </c>
    </row>
    <row r="6312" spans="1:6" x14ac:dyDescent="0.25">
      <c r="A6312" s="8">
        <v>82101603</v>
      </c>
      <c r="B6312" s="9" t="str">
        <f ca="1">IFERROR(INDEX(UNSPSCDes,MATCH(INDIRECT(ADDRESS(ROW(),COLUMN()-1,4)),UNSPSCCode,0)),"")</f>
        <v>Publicidad en internet</v>
      </c>
      <c r="C6312" s="33" t="s">
        <v>55</v>
      </c>
      <c r="D6312" s="8">
        <v>1</v>
      </c>
      <c r="E6312" s="11">
        <v>10000000</v>
      </c>
      <c r="F6312" s="10">
        <f ca="1">INDIRECT(ADDRESS(ROW(),COLUMN()-2,4))*INDIRECT(ADDRESS(ROW(),COLUMN()-1,4))</f>
        <v>10000000</v>
      </c>
    </row>
    <row r="6313" spans="1:6" x14ac:dyDescent="0.25">
      <c r="A6313" s="40"/>
      <c r="B6313" s="40"/>
      <c r="C6313" s="40"/>
      <c r="D6313" s="40"/>
      <c r="E6313" s="13" t="s">
        <v>87</v>
      </c>
      <c r="F6313" s="14">
        <f ca="1">SUM(Table3101271[MONTO TOTAL ESTIMADO])</f>
        <v>50000000</v>
      </c>
    </row>
    <row r="6314" spans="1:6" ht="15.75" thickBot="1" x14ac:dyDescent="0.3">
      <c r="A6314" s="42"/>
      <c r="B6314" s="42"/>
      <c r="C6314" s="42"/>
      <c r="D6314" s="42"/>
      <c r="E6314" s="42"/>
      <c r="F6314" s="42"/>
    </row>
    <row r="6315" spans="1:6" ht="23.25" thickBot="1" x14ac:dyDescent="0.3">
      <c r="A6315" s="4" t="s">
        <v>19</v>
      </c>
      <c r="B6315" s="4" t="s">
        <v>20</v>
      </c>
      <c r="C6315" s="4" t="s">
        <v>21</v>
      </c>
      <c r="D6315" s="4" t="s">
        <v>22</v>
      </c>
      <c r="E6315" s="4" t="s">
        <v>23</v>
      </c>
      <c r="F6315" s="4" t="s">
        <v>24</v>
      </c>
    </row>
    <row r="6316" spans="1:6" ht="15.75" thickBot="1" x14ac:dyDescent="0.3">
      <c r="A6316" s="32" t="s">
        <v>393</v>
      </c>
      <c r="B6316" s="32" t="s">
        <v>394</v>
      </c>
      <c r="C6316" s="32" t="s">
        <v>27</v>
      </c>
      <c r="D6316" s="6" t="s">
        <v>28</v>
      </c>
      <c r="E6316" s="6" t="s">
        <v>262</v>
      </c>
      <c r="F6316" s="6"/>
    </row>
    <row r="6317" spans="1:6" ht="15.75" thickBot="1" x14ac:dyDescent="0.3">
      <c r="A6317" s="35" t="s">
        <v>31</v>
      </c>
      <c r="B6317" s="7" t="s">
        <v>32</v>
      </c>
      <c r="C6317" s="15">
        <v>45566</v>
      </c>
      <c r="D6317" s="35" t="s">
        <v>33</v>
      </c>
      <c r="E6317" s="7" t="s">
        <v>34</v>
      </c>
      <c r="F6317" s="6"/>
    </row>
    <row r="6318" spans="1:6" ht="15.75" thickBot="1" x14ac:dyDescent="0.3">
      <c r="A6318" s="36"/>
      <c r="B6318" s="7" t="s">
        <v>36</v>
      </c>
      <c r="C6318" s="5">
        <f>IF(C6317="","",IF(AND(MONTH(C6317)&gt;=1,MONTH(C6317)&lt;=3),1,IF(AND(MONTH(C6317)&gt;=4,MONTH(C6317)&lt;=6),2,IF(AND(MONTH(C6317)&gt;=7,MONTH(C6317)&lt;=9),3,4))))</f>
        <v>4</v>
      </c>
      <c r="D6318" s="36"/>
      <c r="E6318" s="7" t="s">
        <v>37</v>
      </c>
      <c r="F6318" s="6"/>
    </row>
    <row r="6319" spans="1:6" ht="15.75" thickBot="1" x14ac:dyDescent="0.3">
      <c r="A6319" s="36"/>
      <c r="B6319" s="7" t="s">
        <v>39</v>
      </c>
      <c r="C6319" s="15">
        <v>45656</v>
      </c>
      <c r="D6319" s="36"/>
      <c r="E6319" s="7" t="s">
        <v>40</v>
      </c>
      <c r="F6319" s="6"/>
    </row>
    <row r="6320" spans="1:6" ht="15.75" thickBot="1" x14ac:dyDescent="0.3">
      <c r="A6320" s="36"/>
      <c r="B6320" s="7" t="s">
        <v>36</v>
      </c>
      <c r="C6320" s="5">
        <f>IF(C6319="","",IF(AND(MONTH(C6319)&gt;=1,MONTH(C6319)&lt;=3),1,IF(AND(MONTH(C6319)&gt;=4,MONTH(C6319)&lt;=6),2,IF(AND(MONTH(C6319)&gt;=7,MONTH(C6319)&lt;=9),3,4))))</f>
        <v>4</v>
      </c>
      <c r="D6320" s="36"/>
      <c r="E6320" s="7" t="s">
        <v>41</v>
      </c>
      <c r="F6320" s="6"/>
    </row>
    <row r="6321" spans="1:6" ht="15.75" thickBot="1" x14ac:dyDescent="0.3">
      <c r="A6321" s="40"/>
      <c r="B6321" s="40"/>
      <c r="C6321" s="40"/>
      <c r="D6321" s="40"/>
      <c r="E6321" s="40"/>
      <c r="F6321" s="40"/>
    </row>
    <row r="6322" spans="1:6" ht="15.75" thickBot="1" x14ac:dyDescent="0.3">
      <c r="A6322" s="12" t="s">
        <v>42</v>
      </c>
      <c r="B6322" s="12" t="s">
        <v>43</v>
      </c>
      <c r="C6322" s="12" t="s">
        <v>44</v>
      </c>
      <c r="D6322" s="12" t="s">
        <v>45</v>
      </c>
      <c r="E6322" s="12" t="s">
        <v>46</v>
      </c>
      <c r="F6322" s="12" t="s">
        <v>47</v>
      </c>
    </row>
    <row r="6323" spans="1:6" x14ac:dyDescent="0.25">
      <c r="A6323" s="8">
        <v>46181701</v>
      </c>
      <c r="B6323" s="9" t="str">
        <f ca="1">IFERROR(INDEX(UNSPSCDes,MATCH(INDIRECT(ADDRESS(ROW(),COLUMN()-1,4)),UNSPSCCode,0)),"")</f>
        <v>Cascos</v>
      </c>
      <c r="C6323" s="33" t="s">
        <v>55</v>
      </c>
      <c r="D6323" s="8">
        <v>900</v>
      </c>
      <c r="E6323" s="11">
        <v>1500</v>
      </c>
      <c r="F6323" s="10">
        <f ca="1">INDIRECT(ADDRESS(ROW(),COLUMN()-2,4))*INDIRECT(ADDRESS(ROW(),COLUMN()-1,4))</f>
        <v>1350000</v>
      </c>
    </row>
    <row r="6324" spans="1:6" x14ac:dyDescent="0.25">
      <c r="A6324" s="40"/>
      <c r="B6324" s="40"/>
      <c r="C6324" s="40"/>
      <c r="D6324" s="40"/>
      <c r="E6324" s="13" t="s">
        <v>87</v>
      </c>
      <c r="F6324" s="14">
        <f ca="1">SUM(Table3102272[MONTO TOTAL ESTIMADO])</f>
        <v>1350000</v>
      </c>
    </row>
    <row r="6325" spans="1:6" ht="15.75" thickBot="1" x14ac:dyDescent="0.3">
      <c r="A6325" s="42"/>
      <c r="B6325" s="42"/>
      <c r="C6325" s="42"/>
      <c r="D6325" s="42"/>
      <c r="E6325" s="42"/>
      <c r="F6325" s="42"/>
    </row>
    <row r="6326" spans="1:6" ht="23.25" thickBot="1" x14ac:dyDescent="0.3">
      <c r="A6326" s="4" t="s">
        <v>19</v>
      </c>
      <c r="B6326" s="4" t="s">
        <v>20</v>
      </c>
      <c r="C6326" s="4" t="s">
        <v>21</v>
      </c>
      <c r="D6326" s="4" t="s">
        <v>22</v>
      </c>
      <c r="E6326" s="4" t="s">
        <v>23</v>
      </c>
      <c r="F6326" s="4" t="s">
        <v>24</v>
      </c>
    </row>
    <row r="6327" spans="1:6" ht="15.75" thickBot="1" x14ac:dyDescent="0.3">
      <c r="A6327" s="32" t="s">
        <v>396</v>
      </c>
      <c r="B6327" s="32" t="s">
        <v>397</v>
      </c>
      <c r="C6327" s="32" t="s">
        <v>27</v>
      </c>
      <c r="D6327" s="6" t="s">
        <v>28</v>
      </c>
      <c r="E6327" s="6" t="s">
        <v>262</v>
      </c>
      <c r="F6327" s="6"/>
    </row>
    <row r="6328" spans="1:6" ht="15.75" thickBot="1" x14ac:dyDescent="0.3">
      <c r="A6328" s="35" t="s">
        <v>31</v>
      </c>
      <c r="B6328" s="7" t="s">
        <v>32</v>
      </c>
      <c r="C6328" s="15">
        <v>45566</v>
      </c>
      <c r="D6328" s="35" t="s">
        <v>33</v>
      </c>
      <c r="E6328" s="7" t="s">
        <v>34</v>
      </c>
      <c r="F6328" s="6"/>
    </row>
    <row r="6329" spans="1:6" ht="15.75" thickBot="1" x14ac:dyDescent="0.3">
      <c r="A6329" s="36"/>
      <c r="B6329" s="7" t="s">
        <v>36</v>
      </c>
      <c r="C6329" s="5">
        <f>IF(C6328="","",IF(AND(MONTH(C6328)&gt;=1,MONTH(C6328)&lt;=3),1,IF(AND(MONTH(C6328)&gt;=4,MONTH(C6328)&lt;=6),2,IF(AND(MONTH(C6328)&gt;=7,MONTH(C6328)&lt;=9),3,4))))</f>
        <v>4</v>
      </c>
      <c r="D6329" s="36"/>
      <c r="E6329" s="7" t="s">
        <v>37</v>
      </c>
      <c r="F6329" s="6"/>
    </row>
    <row r="6330" spans="1:6" ht="15.75" thickBot="1" x14ac:dyDescent="0.3">
      <c r="A6330" s="36"/>
      <c r="B6330" s="7" t="s">
        <v>39</v>
      </c>
      <c r="C6330" s="15">
        <v>45656</v>
      </c>
      <c r="D6330" s="36"/>
      <c r="E6330" s="7" t="s">
        <v>40</v>
      </c>
      <c r="F6330" s="6"/>
    </row>
    <row r="6331" spans="1:6" ht="15.75" thickBot="1" x14ac:dyDescent="0.3">
      <c r="A6331" s="36"/>
      <c r="B6331" s="7" t="s">
        <v>36</v>
      </c>
      <c r="C6331" s="5">
        <f>IF(C6330="","",IF(AND(MONTH(C6330)&gt;=1,MONTH(C6330)&lt;=3),1,IF(AND(MONTH(C6330)&gt;=4,MONTH(C6330)&lt;=6),2,IF(AND(MONTH(C6330)&gt;=7,MONTH(C6330)&lt;=9),3,4))))</f>
        <v>4</v>
      </c>
      <c r="D6331" s="36"/>
      <c r="E6331" s="7" t="s">
        <v>41</v>
      </c>
      <c r="F6331" s="6"/>
    </row>
    <row r="6332" spans="1:6" ht="15.75" thickBot="1" x14ac:dyDescent="0.3">
      <c r="A6332" s="40"/>
      <c r="B6332" s="40"/>
      <c r="C6332" s="40"/>
      <c r="D6332" s="40"/>
      <c r="E6332" s="40"/>
      <c r="F6332" s="40"/>
    </row>
    <row r="6333" spans="1:6" ht="15.75" thickBot="1" x14ac:dyDescent="0.3">
      <c r="A6333" s="12" t="s">
        <v>42</v>
      </c>
      <c r="B6333" s="12" t="s">
        <v>43</v>
      </c>
      <c r="C6333" s="12" t="s">
        <v>44</v>
      </c>
      <c r="D6333" s="12" t="s">
        <v>45</v>
      </c>
      <c r="E6333" s="12" t="s">
        <v>46</v>
      </c>
      <c r="F6333" s="12" t="s">
        <v>47</v>
      </c>
    </row>
    <row r="6334" spans="1:6" x14ac:dyDescent="0.25">
      <c r="A6334" s="8">
        <v>46181507</v>
      </c>
      <c r="B6334" s="9" t="str">
        <f ca="1">IFERROR(INDEX(UNSPSCDes,MATCH(INDIRECT(ADDRESS(ROW(),COLUMN()-1,4)),UNSPSCCode,0)),"")</f>
        <v>Chalecos de seguridad</v>
      </c>
      <c r="C6334" s="33" t="s">
        <v>55</v>
      </c>
      <c r="D6334" s="8">
        <v>5000</v>
      </c>
      <c r="E6334" s="11">
        <v>340</v>
      </c>
      <c r="F6334" s="10">
        <f ca="1">INDIRECT(ADDRESS(ROW(),COLUMN()-2,4))*INDIRECT(ADDRESS(ROW(),COLUMN()-1,4))</f>
        <v>1700000</v>
      </c>
    </row>
    <row r="6335" spans="1:6" x14ac:dyDescent="0.25">
      <c r="A6335" s="40"/>
      <c r="B6335" s="40"/>
      <c r="C6335" s="40"/>
      <c r="D6335" s="40"/>
      <c r="E6335" s="13" t="s">
        <v>87</v>
      </c>
      <c r="F6335" s="14">
        <f ca="1">SUM(Table3103273[MONTO TOTAL ESTIMADO])</f>
        <v>1700000</v>
      </c>
    </row>
    <row r="6336" spans="1:6" ht="15.75" thickBot="1" x14ac:dyDescent="0.3">
      <c r="A6336" s="42"/>
      <c r="B6336" s="42"/>
      <c r="C6336" s="42"/>
      <c r="D6336" s="42"/>
      <c r="E6336" s="42"/>
      <c r="F6336" s="42"/>
    </row>
    <row r="6337" spans="1:6" ht="23.25" thickBot="1" x14ac:dyDescent="0.3">
      <c r="A6337" s="4" t="s">
        <v>19</v>
      </c>
      <c r="B6337" s="4" t="s">
        <v>20</v>
      </c>
      <c r="C6337" s="4" t="s">
        <v>21</v>
      </c>
      <c r="D6337" s="4" t="s">
        <v>22</v>
      </c>
      <c r="E6337" s="4" t="s">
        <v>23</v>
      </c>
      <c r="F6337" s="4" t="s">
        <v>24</v>
      </c>
    </row>
    <row r="6338" spans="1:6" ht="15.75" thickBot="1" x14ac:dyDescent="0.3">
      <c r="A6338" s="32" t="s">
        <v>399</v>
      </c>
      <c r="B6338" s="32" t="s">
        <v>400</v>
      </c>
      <c r="C6338" s="32" t="s">
        <v>27</v>
      </c>
      <c r="D6338" s="6" t="s">
        <v>28</v>
      </c>
      <c r="E6338" s="6" t="s">
        <v>262</v>
      </c>
      <c r="F6338" s="6"/>
    </row>
    <row r="6339" spans="1:6" ht="15.75" thickBot="1" x14ac:dyDescent="0.3">
      <c r="A6339" s="35" t="s">
        <v>31</v>
      </c>
      <c r="B6339" s="7" t="s">
        <v>32</v>
      </c>
      <c r="C6339" s="15">
        <v>45566</v>
      </c>
      <c r="D6339" s="35" t="s">
        <v>33</v>
      </c>
      <c r="E6339" s="7" t="s">
        <v>34</v>
      </c>
      <c r="F6339" s="6"/>
    </row>
    <row r="6340" spans="1:6" ht="15.75" thickBot="1" x14ac:dyDescent="0.3">
      <c r="A6340" s="36"/>
      <c r="B6340" s="7" t="s">
        <v>36</v>
      </c>
      <c r="C6340" s="5">
        <f>IF(C6339="","",IF(AND(MONTH(C6339)&gt;=1,MONTH(C6339)&lt;=3),1,IF(AND(MONTH(C6339)&gt;=4,MONTH(C6339)&lt;=6),2,IF(AND(MONTH(C6339)&gt;=7,MONTH(C6339)&lt;=9),3,4))))</f>
        <v>4</v>
      </c>
      <c r="D6340" s="36"/>
      <c r="E6340" s="7" t="s">
        <v>37</v>
      </c>
      <c r="F6340" s="6"/>
    </row>
    <row r="6341" spans="1:6" ht="15.75" thickBot="1" x14ac:dyDescent="0.3">
      <c r="A6341" s="36"/>
      <c r="B6341" s="7" t="s">
        <v>39</v>
      </c>
      <c r="C6341" s="15">
        <v>45656</v>
      </c>
      <c r="D6341" s="36"/>
      <c r="E6341" s="7" t="s">
        <v>40</v>
      </c>
      <c r="F6341" s="6"/>
    </row>
    <row r="6342" spans="1:6" ht="15.75" thickBot="1" x14ac:dyDescent="0.3">
      <c r="A6342" s="36"/>
      <c r="B6342" s="7" t="s">
        <v>36</v>
      </c>
      <c r="C6342" s="5">
        <f>IF(C6341="","",IF(AND(MONTH(C6341)&gt;=1,MONTH(C6341)&lt;=3),1,IF(AND(MONTH(C6341)&gt;=4,MONTH(C6341)&lt;=6),2,IF(AND(MONTH(C6341)&gt;=7,MONTH(C6341)&lt;=9),3,4))))</f>
        <v>4</v>
      </c>
      <c r="D6342" s="36"/>
      <c r="E6342" s="7" t="s">
        <v>41</v>
      </c>
      <c r="F6342" s="6"/>
    </row>
    <row r="6343" spans="1:6" ht="15.75" thickBot="1" x14ac:dyDescent="0.3">
      <c r="A6343" s="40"/>
      <c r="B6343" s="40"/>
      <c r="C6343" s="40"/>
      <c r="D6343" s="40"/>
      <c r="E6343" s="40"/>
      <c r="F6343" s="40"/>
    </row>
    <row r="6344" spans="1:6" ht="15.75" thickBot="1" x14ac:dyDescent="0.3">
      <c r="A6344" s="12" t="s">
        <v>42</v>
      </c>
      <c r="B6344" s="12" t="s">
        <v>43</v>
      </c>
      <c r="C6344" s="12" t="s">
        <v>44</v>
      </c>
      <c r="D6344" s="12" t="s">
        <v>45</v>
      </c>
      <c r="E6344" s="12" t="s">
        <v>46</v>
      </c>
      <c r="F6344" s="12" t="s">
        <v>47</v>
      </c>
    </row>
    <row r="6345" spans="1:6" x14ac:dyDescent="0.25">
      <c r="A6345" s="8">
        <v>46181701</v>
      </c>
      <c r="B6345" s="9" t="str">
        <f ca="1">IFERROR(INDEX(UNSPSCDes,MATCH(INDIRECT(ADDRESS(ROW(),COLUMN()-1,4)),UNSPSCCode,0)),"")</f>
        <v>Cascos</v>
      </c>
      <c r="C6345" s="8" t="s">
        <v>55</v>
      </c>
      <c r="D6345" s="8">
        <v>900</v>
      </c>
      <c r="E6345" s="11">
        <v>1500</v>
      </c>
      <c r="F6345" s="10">
        <f ca="1">INDIRECT(ADDRESS(ROW(),COLUMN()-2,4))*INDIRECT(ADDRESS(ROW(),COLUMN()-1,4))</f>
        <v>1350000</v>
      </c>
    </row>
    <row r="6346" spans="1:6" x14ac:dyDescent="0.25">
      <c r="A6346" s="40"/>
      <c r="B6346" s="40"/>
      <c r="C6346" s="40"/>
      <c r="D6346" s="40"/>
      <c r="E6346" s="13" t="s">
        <v>87</v>
      </c>
      <c r="F6346" s="14">
        <f ca="1">SUM(Table3104274[MONTO TOTAL ESTIMADO])</f>
        <v>1350000</v>
      </c>
    </row>
    <row r="6347" spans="1:6" ht="15.75" thickBot="1" x14ac:dyDescent="0.3">
      <c r="A6347" s="42"/>
      <c r="B6347" s="42"/>
      <c r="C6347" s="42"/>
      <c r="D6347" s="42"/>
      <c r="E6347" s="42"/>
      <c r="F6347" s="42"/>
    </row>
    <row r="6348" spans="1:6" ht="23.25" thickBot="1" x14ac:dyDescent="0.3">
      <c r="A6348" s="4" t="s">
        <v>19</v>
      </c>
      <c r="B6348" s="4" t="s">
        <v>20</v>
      </c>
      <c r="C6348" s="4" t="s">
        <v>21</v>
      </c>
      <c r="D6348" s="4" t="s">
        <v>22</v>
      </c>
      <c r="E6348" s="4" t="s">
        <v>23</v>
      </c>
      <c r="F6348" s="4" t="s">
        <v>24</v>
      </c>
    </row>
    <row r="6349" spans="1:6" ht="15.75" thickBot="1" x14ac:dyDescent="0.3">
      <c r="A6349" s="32" t="s">
        <v>401</v>
      </c>
      <c r="B6349" s="32" t="s">
        <v>402</v>
      </c>
      <c r="C6349" s="32" t="s">
        <v>27</v>
      </c>
      <c r="D6349" s="6" t="s">
        <v>188</v>
      </c>
      <c r="E6349" s="6" t="s">
        <v>262</v>
      </c>
      <c r="F6349" s="6"/>
    </row>
    <row r="6350" spans="1:6" ht="15.75" thickBot="1" x14ac:dyDescent="0.3">
      <c r="A6350" s="35" t="s">
        <v>31</v>
      </c>
      <c r="B6350" s="7" t="s">
        <v>32</v>
      </c>
      <c r="C6350" s="15">
        <v>45566</v>
      </c>
      <c r="D6350" s="35" t="s">
        <v>33</v>
      </c>
      <c r="E6350" s="7" t="s">
        <v>34</v>
      </c>
      <c r="F6350" s="6"/>
    </row>
    <row r="6351" spans="1:6" ht="15.75" thickBot="1" x14ac:dyDescent="0.3">
      <c r="A6351" s="36"/>
      <c r="B6351" s="7" t="s">
        <v>36</v>
      </c>
      <c r="C6351" s="5">
        <f>IF(C6350="","",IF(AND(MONTH(C6350)&gt;=1,MONTH(C6350)&lt;=3),1,IF(AND(MONTH(C6350)&gt;=4,MONTH(C6350)&lt;=6),2,IF(AND(MONTH(C6350)&gt;=7,MONTH(C6350)&lt;=9),3,4))))</f>
        <v>4</v>
      </c>
      <c r="D6351" s="36"/>
      <c r="E6351" s="7" t="s">
        <v>37</v>
      </c>
      <c r="F6351" s="6"/>
    </row>
    <row r="6352" spans="1:6" ht="15.75" thickBot="1" x14ac:dyDescent="0.3">
      <c r="A6352" s="36"/>
      <c r="B6352" s="7" t="s">
        <v>39</v>
      </c>
      <c r="C6352" s="15">
        <v>45656</v>
      </c>
      <c r="D6352" s="36"/>
      <c r="E6352" s="7" t="s">
        <v>40</v>
      </c>
      <c r="F6352" s="6"/>
    </row>
    <row r="6353" spans="1:6" ht="15.75" thickBot="1" x14ac:dyDescent="0.3">
      <c r="A6353" s="36"/>
      <c r="B6353" s="7" t="s">
        <v>36</v>
      </c>
      <c r="C6353" s="5">
        <f>IF(C6352="","",IF(AND(MONTH(C6352)&gt;=1,MONTH(C6352)&lt;=3),1,IF(AND(MONTH(C6352)&gt;=4,MONTH(C6352)&lt;=6),2,IF(AND(MONTH(C6352)&gt;=7,MONTH(C6352)&lt;=9),3,4))))</f>
        <v>4</v>
      </c>
      <c r="D6353" s="36"/>
      <c r="E6353" s="7" t="s">
        <v>41</v>
      </c>
      <c r="F6353" s="6"/>
    </row>
    <row r="6354" spans="1:6" ht="15.75" thickBot="1" x14ac:dyDescent="0.3">
      <c r="A6354" s="40"/>
      <c r="B6354" s="40"/>
      <c r="C6354" s="40"/>
      <c r="D6354" s="40"/>
      <c r="E6354" s="40"/>
      <c r="F6354" s="40"/>
    </row>
    <row r="6355" spans="1:6" ht="15.75" thickBot="1" x14ac:dyDescent="0.3">
      <c r="A6355" s="12" t="s">
        <v>42</v>
      </c>
      <c r="B6355" s="12" t="s">
        <v>43</v>
      </c>
      <c r="C6355" s="12" t="s">
        <v>44</v>
      </c>
      <c r="D6355" s="12" t="s">
        <v>45</v>
      </c>
      <c r="E6355" s="12" t="s">
        <v>46</v>
      </c>
      <c r="F6355" s="12" t="s">
        <v>47</v>
      </c>
    </row>
    <row r="6356" spans="1:6" x14ac:dyDescent="0.25">
      <c r="A6356" s="8">
        <v>14111704</v>
      </c>
      <c r="B6356" s="9" t="str">
        <f ca="1">IFERROR(INDEX(UNSPSCDes,MATCH(INDIRECT(ADDRESS(ROW(),COLUMN()-1,4)),UNSPSCCode,0)),"")</f>
        <v>Papel higiénico</v>
      </c>
      <c r="C6356" s="8" t="s">
        <v>55</v>
      </c>
      <c r="D6356" s="8">
        <v>100</v>
      </c>
      <c r="E6356" s="11">
        <v>870</v>
      </c>
      <c r="F6356" s="10">
        <f ca="1">INDIRECT(ADDRESS(ROW(),COLUMN()-2,4))*INDIRECT(ADDRESS(ROW(),COLUMN()-1,4))</f>
        <v>87000</v>
      </c>
    </row>
    <row r="6357" spans="1:6" x14ac:dyDescent="0.25">
      <c r="A6357" s="8">
        <v>14111703</v>
      </c>
      <c r="B6357" s="9" t="str">
        <f ca="1">IFERROR(INDEX(UNSPSCDes,MATCH(INDIRECT(ADDRESS(ROW(),COLUMN()-1,4)),UNSPSCCode,0)),"")</f>
        <v>Toallas de papel</v>
      </c>
      <c r="C6357" s="33" t="s">
        <v>55</v>
      </c>
      <c r="D6357" s="8">
        <v>30</v>
      </c>
      <c r="E6357" s="11">
        <v>895.66</v>
      </c>
      <c r="F6357" s="10">
        <f ca="1">INDIRECT(ADDRESS(ROW(),COLUMN()-2,4))*INDIRECT(ADDRESS(ROW(),COLUMN()-1,4))</f>
        <v>26869.8</v>
      </c>
    </row>
    <row r="6358" spans="1:6" x14ac:dyDescent="0.25">
      <c r="A6358" s="8">
        <v>52151504</v>
      </c>
      <c r="B6358" s="9" t="str">
        <f ca="1">IFERROR(INDEX(UNSPSCDes,MATCH(INDIRECT(ADDRESS(ROW(),COLUMN()-1,4)),UNSPSCCode,0)),"")</f>
        <v>Tazas o vasos o tapas desechables para uso doméstico</v>
      </c>
      <c r="C6358" s="8" t="s">
        <v>74</v>
      </c>
      <c r="D6358" s="8">
        <v>100</v>
      </c>
      <c r="E6358" s="11">
        <v>195.82</v>
      </c>
      <c r="F6358" s="10">
        <f ca="1">INDIRECT(ADDRESS(ROW(),COLUMN()-2,4))*INDIRECT(ADDRESS(ROW(),COLUMN()-1,4))</f>
        <v>19582</v>
      </c>
    </row>
    <row r="6359" spans="1:6" x14ac:dyDescent="0.25">
      <c r="A6359" s="8">
        <v>52151504</v>
      </c>
      <c r="B6359" s="9" t="str">
        <f ca="1">IFERROR(INDEX(UNSPSCDes,MATCH(INDIRECT(ADDRESS(ROW(),COLUMN()-1,4)),UNSPSCCode,0)),"")</f>
        <v>Tazas o vasos o tapas desechables para uso doméstico</v>
      </c>
      <c r="C6359" s="33" t="s">
        <v>74</v>
      </c>
      <c r="D6359" s="8">
        <v>150</v>
      </c>
      <c r="E6359" s="11">
        <v>114</v>
      </c>
      <c r="F6359" s="10">
        <f ca="1">INDIRECT(ADDRESS(ROW(),COLUMN()-2,4))*INDIRECT(ADDRESS(ROW(),COLUMN()-1,4))</f>
        <v>17100</v>
      </c>
    </row>
    <row r="6360" spans="1:6" x14ac:dyDescent="0.25">
      <c r="A6360" s="40"/>
      <c r="B6360" s="40"/>
      <c r="C6360" s="40"/>
      <c r="D6360" s="40"/>
      <c r="E6360" s="13" t="s">
        <v>87</v>
      </c>
      <c r="F6360" s="14">
        <f ca="1">SUM(Table3105275[MONTO TOTAL ESTIMADO])</f>
        <v>150551.79999999999</v>
      </c>
    </row>
    <row r="6361" spans="1:6" ht="15.75" thickBot="1" x14ac:dyDescent="0.3">
      <c r="A6361" s="42"/>
      <c r="B6361" s="42"/>
      <c r="C6361" s="42"/>
      <c r="D6361" s="42"/>
      <c r="E6361" s="42"/>
      <c r="F6361" s="42"/>
    </row>
    <row r="6362" spans="1:6" ht="23.25" thickBot="1" x14ac:dyDescent="0.3">
      <c r="A6362" s="4" t="s">
        <v>19</v>
      </c>
      <c r="B6362" s="4" t="s">
        <v>20</v>
      </c>
      <c r="C6362" s="4" t="s">
        <v>21</v>
      </c>
      <c r="D6362" s="4" t="s">
        <v>22</v>
      </c>
      <c r="E6362" s="4" t="s">
        <v>23</v>
      </c>
      <c r="F6362" s="4" t="s">
        <v>24</v>
      </c>
    </row>
    <row r="6363" spans="1:6" ht="15.75" thickBot="1" x14ac:dyDescent="0.3">
      <c r="A6363" s="32" t="s">
        <v>403</v>
      </c>
      <c r="B6363" s="32" t="s">
        <v>404</v>
      </c>
      <c r="C6363" s="6" t="s">
        <v>27</v>
      </c>
      <c r="D6363" s="6" t="s">
        <v>188</v>
      </c>
      <c r="E6363" s="6" t="s">
        <v>262</v>
      </c>
      <c r="F6363" s="6"/>
    </row>
    <row r="6364" spans="1:6" ht="15.75" thickBot="1" x14ac:dyDescent="0.3">
      <c r="A6364" s="35" t="s">
        <v>31</v>
      </c>
      <c r="B6364" s="7" t="s">
        <v>32</v>
      </c>
      <c r="C6364" s="15">
        <v>45566</v>
      </c>
      <c r="D6364" s="35" t="s">
        <v>33</v>
      </c>
      <c r="E6364" s="7" t="s">
        <v>34</v>
      </c>
      <c r="F6364" s="6"/>
    </row>
    <row r="6365" spans="1:6" ht="15.75" thickBot="1" x14ac:dyDescent="0.3">
      <c r="A6365" s="36"/>
      <c r="B6365" s="7" t="s">
        <v>36</v>
      </c>
      <c r="C6365" s="5">
        <f>IF(C6364="","",IF(AND(MONTH(C6364)&gt;=1,MONTH(C6364)&lt;=3),1,IF(AND(MONTH(C6364)&gt;=4,MONTH(C6364)&lt;=6),2,IF(AND(MONTH(C6364)&gt;=7,MONTH(C6364)&lt;=9),3,4))))</f>
        <v>4</v>
      </c>
      <c r="D6365" s="36"/>
      <c r="E6365" s="7" t="s">
        <v>37</v>
      </c>
      <c r="F6365" s="6"/>
    </row>
    <row r="6366" spans="1:6" ht="15.75" thickBot="1" x14ac:dyDescent="0.3">
      <c r="A6366" s="36"/>
      <c r="B6366" s="7" t="s">
        <v>39</v>
      </c>
      <c r="C6366" s="15">
        <v>45656</v>
      </c>
      <c r="D6366" s="36"/>
      <c r="E6366" s="7" t="s">
        <v>40</v>
      </c>
      <c r="F6366" s="6"/>
    </row>
    <row r="6367" spans="1:6" ht="15.75" thickBot="1" x14ac:dyDescent="0.3">
      <c r="A6367" s="36"/>
      <c r="B6367" s="7" t="s">
        <v>36</v>
      </c>
      <c r="C6367" s="5">
        <f>IF(C6366="","",IF(AND(MONTH(C6366)&gt;=1,MONTH(C6366)&lt;=3),1,IF(AND(MONTH(C6366)&gt;=4,MONTH(C6366)&lt;=6),2,IF(AND(MONTH(C6366)&gt;=7,MONTH(C6366)&lt;=9),3,4))))</f>
        <v>4</v>
      </c>
      <c r="D6367" s="36"/>
      <c r="E6367" s="7" t="s">
        <v>41</v>
      </c>
      <c r="F6367" s="6"/>
    </row>
    <row r="6368" spans="1:6" ht="15.75" thickBot="1" x14ac:dyDescent="0.3">
      <c r="A6368" s="40"/>
      <c r="B6368" s="40"/>
      <c r="C6368" s="40"/>
      <c r="D6368" s="40"/>
      <c r="E6368" s="40"/>
      <c r="F6368" s="40"/>
    </row>
    <row r="6369" spans="1:6" ht="15.75" thickBot="1" x14ac:dyDescent="0.3">
      <c r="A6369" s="12" t="s">
        <v>42</v>
      </c>
      <c r="B6369" s="12" t="s">
        <v>43</v>
      </c>
      <c r="C6369" s="12" t="s">
        <v>44</v>
      </c>
      <c r="D6369" s="12" t="s">
        <v>45</v>
      </c>
      <c r="E6369" s="12" t="s">
        <v>46</v>
      </c>
      <c r="F6369" s="12" t="s">
        <v>47</v>
      </c>
    </row>
    <row r="6370" spans="1:6" x14ac:dyDescent="0.25">
      <c r="A6370" s="8">
        <v>31211505</v>
      </c>
      <c r="B6370" s="9" t="str">
        <f ca="1">IFERROR(INDEX(UNSPSCDes,MATCH(INDIRECT(ADDRESS(ROW(),COLUMN()-1,4)),UNSPSCCode,0)),"")</f>
        <v>Pinturas de aceite</v>
      </c>
      <c r="C6370" s="33" t="s">
        <v>55</v>
      </c>
      <c r="D6370" s="8">
        <v>20</v>
      </c>
      <c r="E6370" s="11">
        <v>1552</v>
      </c>
      <c r="F6370" s="10">
        <f ca="1">INDIRECT(ADDRESS(ROW(),COLUMN()-2,4))*INDIRECT(ADDRESS(ROW(),COLUMN()-1,4))</f>
        <v>31040</v>
      </c>
    </row>
    <row r="6371" spans="1:6" x14ac:dyDescent="0.25">
      <c r="A6371" s="40"/>
      <c r="B6371" s="40"/>
      <c r="C6371" s="40"/>
      <c r="D6371" s="40"/>
      <c r="E6371" s="13" t="s">
        <v>87</v>
      </c>
      <c r="F6371" s="14">
        <f ca="1">SUM(Table3106276[MONTO TOTAL ESTIMADO])</f>
        <v>31040</v>
      </c>
    </row>
    <row r="6372" spans="1:6" ht="15.75" thickBot="1" x14ac:dyDescent="0.3">
      <c r="A6372" s="42"/>
      <c r="B6372" s="42"/>
      <c r="C6372" s="42"/>
      <c r="D6372" s="42"/>
      <c r="E6372" s="42"/>
      <c r="F6372" s="42"/>
    </row>
    <row r="6373" spans="1:6" ht="23.25" thickBot="1" x14ac:dyDescent="0.3">
      <c r="A6373" s="4" t="s">
        <v>19</v>
      </c>
      <c r="B6373" s="4" t="s">
        <v>20</v>
      </c>
      <c r="C6373" s="4" t="s">
        <v>21</v>
      </c>
      <c r="D6373" s="4" t="s">
        <v>22</v>
      </c>
      <c r="E6373" s="4" t="s">
        <v>23</v>
      </c>
      <c r="F6373" s="4" t="s">
        <v>24</v>
      </c>
    </row>
    <row r="6374" spans="1:6" ht="15.75" thickBot="1" x14ac:dyDescent="0.3">
      <c r="A6374" s="32" t="s">
        <v>406</v>
      </c>
      <c r="B6374" s="32" t="s">
        <v>407</v>
      </c>
      <c r="C6374" s="32" t="s">
        <v>27</v>
      </c>
      <c r="D6374" s="6" t="s">
        <v>188</v>
      </c>
      <c r="E6374" s="6" t="s">
        <v>262</v>
      </c>
      <c r="F6374" s="6"/>
    </row>
    <row r="6375" spans="1:6" ht="15.75" thickBot="1" x14ac:dyDescent="0.3">
      <c r="A6375" s="35" t="s">
        <v>31</v>
      </c>
      <c r="B6375" s="7" t="s">
        <v>32</v>
      </c>
      <c r="C6375" s="15">
        <v>45566</v>
      </c>
      <c r="D6375" s="35" t="s">
        <v>33</v>
      </c>
      <c r="E6375" s="7" t="s">
        <v>34</v>
      </c>
      <c r="F6375" s="6"/>
    </row>
    <row r="6376" spans="1:6" ht="15.75" thickBot="1" x14ac:dyDescent="0.3">
      <c r="A6376" s="36"/>
      <c r="B6376" s="7" t="s">
        <v>36</v>
      </c>
      <c r="C6376" s="5">
        <f>IF(C6375="","",IF(AND(MONTH(C6375)&gt;=1,MONTH(C6375)&lt;=3),1,IF(AND(MONTH(C6375)&gt;=4,MONTH(C6375)&lt;=6),2,IF(AND(MONTH(C6375)&gt;=7,MONTH(C6375)&lt;=9),3,4))))</f>
        <v>4</v>
      </c>
      <c r="D6376" s="36"/>
      <c r="E6376" s="7" t="s">
        <v>37</v>
      </c>
      <c r="F6376" s="6"/>
    </row>
    <row r="6377" spans="1:6" ht="15.75" thickBot="1" x14ac:dyDescent="0.3">
      <c r="A6377" s="36"/>
      <c r="B6377" s="7" t="s">
        <v>39</v>
      </c>
      <c r="C6377" s="15">
        <v>45656</v>
      </c>
      <c r="D6377" s="36"/>
      <c r="E6377" s="7" t="s">
        <v>40</v>
      </c>
      <c r="F6377" s="6"/>
    </row>
    <row r="6378" spans="1:6" ht="15.75" thickBot="1" x14ac:dyDescent="0.3">
      <c r="A6378" s="36"/>
      <c r="B6378" s="7" t="s">
        <v>36</v>
      </c>
      <c r="C6378" s="5">
        <f>IF(C6377="","",IF(AND(MONTH(C6377)&gt;=1,MONTH(C6377)&lt;=3),1,IF(AND(MONTH(C6377)&gt;=4,MONTH(C6377)&lt;=6),2,IF(AND(MONTH(C6377)&gt;=7,MONTH(C6377)&lt;=9),3,4))))</f>
        <v>4</v>
      </c>
      <c r="D6378" s="36"/>
      <c r="E6378" s="7" t="s">
        <v>41</v>
      </c>
      <c r="F6378" s="6"/>
    </row>
    <row r="6379" spans="1:6" ht="15.75" thickBot="1" x14ac:dyDescent="0.3">
      <c r="A6379" s="40"/>
      <c r="B6379" s="40"/>
      <c r="C6379" s="40"/>
      <c r="D6379" s="40"/>
      <c r="E6379" s="40"/>
      <c r="F6379" s="40"/>
    </row>
    <row r="6380" spans="1:6" ht="15.75" thickBot="1" x14ac:dyDescent="0.3">
      <c r="A6380" s="12" t="s">
        <v>42</v>
      </c>
      <c r="B6380" s="12" t="s">
        <v>43</v>
      </c>
      <c r="C6380" s="12" t="s">
        <v>44</v>
      </c>
      <c r="D6380" s="12" t="s">
        <v>45</v>
      </c>
      <c r="E6380" s="12" t="s">
        <v>46</v>
      </c>
      <c r="F6380" s="12" t="s">
        <v>47</v>
      </c>
    </row>
    <row r="6381" spans="1:6" x14ac:dyDescent="0.25">
      <c r="A6381" s="8">
        <v>46161508</v>
      </c>
      <c r="B6381" s="9" t="str">
        <f ca="1">IFERROR(INDEX(UNSPSCDes,MATCH(INDIRECT(ADDRESS(ROW(),COLUMN()-1,4)),UNSPSCCode,0)),"")</f>
        <v>Conos o delineadores de tráfico</v>
      </c>
      <c r="C6381" s="33" t="s">
        <v>55</v>
      </c>
      <c r="D6381" s="8">
        <v>50</v>
      </c>
      <c r="E6381" s="11">
        <v>913</v>
      </c>
      <c r="F6381" s="10">
        <f ca="1">INDIRECT(ADDRESS(ROW(),COLUMN()-2,4))*INDIRECT(ADDRESS(ROW(),COLUMN()-1,4))</f>
        <v>45650</v>
      </c>
    </row>
    <row r="6382" spans="1:6" x14ac:dyDescent="0.25">
      <c r="A6382" s="40"/>
      <c r="B6382" s="40"/>
      <c r="C6382" s="40"/>
      <c r="D6382" s="40"/>
      <c r="E6382" s="13" t="s">
        <v>87</v>
      </c>
      <c r="F6382" s="14">
        <f ca="1">SUM(Table3107277[MONTO TOTAL ESTIMADO])</f>
        <v>45650</v>
      </c>
    </row>
    <row r="6383" spans="1:6" ht="15.75" thickBot="1" x14ac:dyDescent="0.3">
      <c r="A6383" s="42"/>
      <c r="B6383" s="42"/>
      <c r="C6383" s="42"/>
      <c r="D6383" s="42"/>
      <c r="E6383" s="42"/>
      <c r="F6383" s="42"/>
    </row>
    <row r="6384" spans="1:6" ht="23.25" thickBot="1" x14ac:dyDescent="0.3">
      <c r="A6384" s="4" t="s">
        <v>19</v>
      </c>
      <c r="B6384" s="4" t="s">
        <v>20</v>
      </c>
      <c r="C6384" s="4" t="s">
        <v>21</v>
      </c>
      <c r="D6384" s="4" t="s">
        <v>22</v>
      </c>
      <c r="E6384" s="4" t="s">
        <v>23</v>
      </c>
      <c r="F6384" s="4" t="s">
        <v>24</v>
      </c>
    </row>
    <row r="6385" spans="1:6" ht="15.75" thickBot="1" x14ac:dyDescent="0.3">
      <c r="A6385" s="32" t="s">
        <v>409</v>
      </c>
      <c r="B6385" s="32" t="s">
        <v>410</v>
      </c>
      <c r="C6385" s="32" t="s">
        <v>129</v>
      </c>
      <c r="D6385" s="6" t="s">
        <v>28</v>
      </c>
      <c r="E6385" s="32" t="s">
        <v>29</v>
      </c>
      <c r="F6385" s="6"/>
    </row>
    <row r="6386" spans="1:6" ht="15.75" thickBot="1" x14ac:dyDescent="0.3">
      <c r="A6386" s="35" t="s">
        <v>31</v>
      </c>
      <c r="B6386" s="7" t="s">
        <v>32</v>
      </c>
      <c r="C6386" s="15">
        <v>45566</v>
      </c>
      <c r="D6386" s="35" t="s">
        <v>33</v>
      </c>
      <c r="E6386" s="7" t="s">
        <v>34</v>
      </c>
      <c r="F6386" s="6"/>
    </row>
    <row r="6387" spans="1:6" ht="15.75" thickBot="1" x14ac:dyDescent="0.3">
      <c r="A6387" s="36"/>
      <c r="B6387" s="7" t="s">
        <v>36</v>
      </c>
      <c r="C6387" s="5">
        <f>IF(C6386="","",IF(AND(MONTH(C6386)&gt;=1,MONTH(C6386)&lt;=3),1,IF(AND(MONTH(C6386)&gt;=4,MONTH(C6386)&lt;=6),2,IF(AND(MONTH(C6386)&gt;=7,MONTH(C6386)&lt;=9),3,4))))</f>
        <v>4</v>
      </c>
      <c r="D6387" s="36"/>
      <c r="E6387" s="7" t="s">
        <v>37</v>
      </c>
      <c r="F6387" s="6"/>
    </row>
    <row r="6388" spans="1:6" ht="15.75" thickBot="1" x14ac:dyDescent="0.3">
      <c r="A6388" s="36"/>
      <c r="B6388" s="7" t="s">
        <v>39</v>
      </c>
      <c r="C6388" s="15">
        <v>45656</v>
      </c>
      <c r="D6388" s="36"/>
      <c r="E6388" s="7" t="s">
        <v>40</v>
      </c>
      <c r="F6388" s="6"/>
    </row>
    <row r="6389" spans="1:6" ht="15.75" thickBot="1" x14ac:dyDescent="0.3">
      <c r="A6389" s="36"/>
      <c r="B6389" s="7" t="s">
        <v>36</v>
      </c>
      <c r="C6389" s="5">
        <f>IF(C6388="","",IF(AND(MONTH(C6388)&gt;=1,MONTH(C6388)&lt;=3),1,IF(AND(MONTH(C6388)&gt;=4,MONTH(C6388)&lt;=6),2,IF(AND(MONTH(C6388)&gt;=7,MONTH(C6388)&lt;=9),3,4))))</f>
        <v>4</v>
      </c>
      <c r="D6389" s="36"/>
      <c r="E6389" s="7" t="s">
        <v>41</v>
      </c>
      <c r="F6389" s="6"/>
    </row>
    <row r="6390" spans="1:6" ht="15.75" thickBot="1" x14ac:dyDescent="0.3">
      <c r="A6390" s="40"/>
      <c r="B6390" s="40"/>
      <c r="C6390" s="40"/>
      <c r="D6390" s="40"/>
      <c r="E6390" s="40"/>
      <c r="F6390" s="40"/>
    </row>
    <row r="6391" spans="1:6" ht="15.75" thickBot="1" x14ac:dyDescent="0.3">
      <c r="A6391" s="12" t="s">
        <v>42</v>
      </c>
      <c r="B6391" s="12" t="s">
        <v>43</v>
      </c>
      <c r="C6391" s="12" t="s">
        <v>44</v>
      </c>
      <c r="D6391" s="12" t="s">
        <v>45</v>
      </c>
      <c r="E6391" s="12" t="s">
        <v>46</v>
      </c>
      <c r="F6391" s="12" t="s">
        <v>47</v>
      </c>
    </row>
    <row r="6392" spans="1:6" x14ac:dyDescent="0.25">
      <c r="A6392" s="8">
        <v>72102103</v>
      </c>
      <c r="B6392" s="9" t="str">
        <f ca="1">IFERROR(INDEX(UNSPSCDes,MATCH(INDIRECT(ADDRESS(ROW(),COLUMN()-1,4)),UNSPSCCode,0)),"")</f>
        <v>Servicios de exterminación o fumigación</v>
      </c>
      <c r="C6392" s="33" t="s">
        <v>55</v>
      </c>
      <c r="D6392" s="8">
        <v>1</v>
      </c>
      <c r="E6392" s="11">
        <v>1700000</v>
      </c>
      <c r="F6392" s="10">
        <f ca="1">INDIRECT(ADDRESS(ROW(),COLUMN()-2,4))*INDIRECT(ADDRESS(ROW(),COLUMN()-1,4))</f>
        <v>1700000</v>
      </c>
    </row>
    <row r="6393" spans="1:6" x14ac:dyDescent="0.25">
      <c r="A6393" s="40"/>
      <c r="B6393" s="40"/>
      <c r="C6393" s="40"/>
      <c r="D6393" s="40"/>
      <c r="E6393" s="13" t="s">
        <v>87</v>
      </c>
      <c r="F6393" s="14">
        <f ca="1">SUM(Table3108278[MONTO TOTAL ESTIMADO])</f>
        <v>1700000</v>
      </c>
    </row>
    <row r="6394" spans="1:6" ht="15.75" thickBot="1" x14ac:dyDescent="0.3">
      <c r="A6394" s="42"/>
      <c r="B6394" s="42"/>
      <c r="C6394" s="42"/>
      <c r="D6394" s="42"/>
      <c r="E6394" s="42"/>
      <c r="F6394" s="42"/>
    </row>
    <row r="6395" spans="1:6" ht="23.25" thickBot="1" x14ac:dyDescent="0.3">
      <c r="A6395" s="4" t="s">
        <v>19</v>
      </c>
      <c r="B6395" s="4" t="s">
        <v>20</v>
      </c>
      <c r="C6395" s="4" t="s">
        <v>21</v>
      </c>
      <c r="D6395" s="4" t="s">
        <v>22</v>
      </c>
      <c r="E6395" s="4" t="s">
        <v>23</v>
      </c>
      <c r="F6395" s="4" t="s">
        <v>24</v>
      </c>
    </row>
    <row r="6396" spans="1:6" ht="15.75" thickBot="1" x14ac:dyDescent="0.3">
      <c r="A6396" s="32" t="s">
        <v>325</v>
      </c>
      <c r="B6396" s="32" t="s">
        <v>411</v>
      </c>
      <c r="C6396" s="32" t="s">
        <v>27</v>
      </c>
      <c r="D6396" s="6" t="s">
        <v>28</v>
      </c>
      <c r="E6396" s="6" t="s">
        <v>262</v>
      </c>
      <c r="F6396" s="6"/>
    </row>
    <row r="6397" spans="1:6" ht="15.75" thickBot="1" x14ac:dyDescent="0.3">
      <c r="A6397" s="35" t="s">
        <v>31</v>
      </c>
      <c r="B6397" s="7" t="s">
        <v>32</v>
      </c>
      <c r="C6397" s="15">
        <v>45566</v>
      </c>
      <c r="D6397" s="35" t="s">
        <v>33</v>
      </c>
      <c r="E6397" s="7" t="s">
        <v>34</v>
      </c>
      <c r="F6397" s="6"/>
    </row>
    <row r="6398" spans="1:6" ht="15.75" thickBot="1" x14ac:dyDescent="0.3">
      <c r="A6398" s="36"/>
      <c r="B6398" s="7" t="s">
        <v>36</v>
      </c>
      <c r="C6398" s="5">
        <f>IF(C6397="","",IF(AND(MONTH(C6397)&gt;=1,MONTH(C6397)&lt;=3),1,IF(AND(MONTH(C6397)&gt;=4,MONTH(C6397)&lt;=6),2,IF(AND(MONTH(C6397)&gt;=7,MONTH(C6397)&lt;=9),3,4))))</f>
        <v>4</v>
      </c>
      <c r="D6398" s="36"/>
      <c r="E6398" s="7" t="s">
        <v>37</v>
      </c>
      <c r="F6398" s="6"/>
    </row>
    <row r="6399" spans="1:6" ht="15.75" thickBot="1" x14ac:dyDescent="0.3">
      <c r="A6399" s="36"/>
      <c r="B6399" s="7" t="s">
        <v>39</v>
      </c>
      <c r="C6399" s="15">
        <v>45656</v>
      </c>
      <c r="D6399" s="36"/>
      <c r="E6399" s="7" t="s">
        <v>40</v>
      </c>
      <c r="F6399" s="6"/>
    </row>
    <row r="6400" spans="1:6" ht="15.75" thickBot="1" x14ac:dyDescent="0.3">
      <c r="A6400" s="36"/>
      <c r="B6400" s="7" t="s">
        <v>36</v>
      </c>
      <c r="C6400" s="5">
        <f>IF(C6399="","",IF(AND(MONTH(C6399)&gt;=1,MONTH(C6399)&lt;=3),1,IF(AND(MONTH(C6399)&gt;=4,MONTH(C6399)&lt;=6),2,IF(AND(MONTH(C6399)&gt;=7,MONTH(C6399)&lt;=9),3,4))))</f>
        <v>4</v>
      </c>
      <c r="D6400" s="36"/>
      <c r="E6400" s="7" t="s">
        <v>41</v>
      </c>
      <c r="F6400" s="6"/>
    </row>
    <row r="6401" spans="1:6" ht="15.75" thickBot="1" x14ac:dyDescent="0.3">
      <c r="A6401" s="40"/>
      <c r="B6401" s="40"/>
      <c r="C6401" s="40"/>
      <c r="D6401" s="40"/>
      <c r="E6401" s="40"/>
      <c r="F6401" s="40"/>
    </row>
    <row r="6402" spans="1:6" ht="15.75" thickBot="1" x14ac:dyDescent="0.3">
      <c r="A6402" s="12" t="s">
        <v>42</v>
      </c>
      <c r="B6402" s="12" t="s">
        <v>43</v>
      </c>
      <c r="C6402" s="12" t="s">
        <v>44</v>
      </c>
      <c r="D6402" s="12" t="s">
        <v>45</v>
      </c>
      <c r="E6402" s="12" t="s">
        <v>46</v>
      </c>
      <c r="F6402" s="12" t="s">
        <v>47</v>
      </c>
    </row>
    <row r="6403" spans="1:6" x14ac:dyDescent="0.25">
      <c r="A6403" s="8">
        <v>47131803</v>
      </c>
      <c r="B6403" s="9" t="str">
        <f t="shared" ref="B6403:B6413" ca="1" si="129">IFERROR(INDEX(UNSPSCDes,MATCH(INDIRECT(ADDRESS(ROW(),COLUMN()-1,4)),UNSPSCCode,0)),"")</f>
        <v>Desinfectantes para uso doméstico</v>
      </c>
      <c r="C6403" s="8" t="s">
        <v>92</v>
      </c>
      <c r="D6403" s="8">
        <v>85</v>
      </c>
      <c r="E6403" s="11">
        <v>241.9</v>
      </c>
      <c r="F6403" s="10">
        <f t="shared" ref="F6403:F6413" ca="1" si="130">INDIRECT(ADDRESS(ROW(),COLUMN()-2,4))*INDIRECT(ADDRESS(ROW(),COLUMN()-1,4))</f>
        <v>20561.5</v>
      </c>
    </row>
    <row r="6404" spans="1:6" x14ac:dyDescent="0.25">
      <c r="A6404" s="8">
        <v>47131807</v>
      </c>
      <c r="B6404" s="9" t="str">
        <f t="shared" ca="1" si="129"/>
        <v>Blanqueadores</v>
      </c>
      <c r="C6404" s="33" t="s">
        <v>55</v>
      </c>
      <c r="D6404" s="8">
        <v>24</v>
      </c>
      <c r="E6404" s="11">
        <v>14160</v>
      </c>
      <c r="F6404" s="10">
        <f t="shared" ca="1" si="130"/>
        <v>339840</v>
      </c>
    </row>
    <row r="6405" spans="1:6" x14ac:dyDescent="0.25">
      <c r="A6405" s="8">
        <v>47131807</v>
      </c>
      <c r="B6405" s="9" t="str">
        <f t="shared" ca="1" si="129"/>
        <v>Blanqueadores</v>
      </c>
      <c r="C6405" s="8" t="s">
        <v>92</v>
      </c>
      <c r="D6405" s="8">
        <v>24</v>
      </c>
      <c r="E6405" s="11">
        <v>12980</v>
      </c>
      <c r="F6405" s="10">
        <f t="shared" ca="1" si="130"/>
        <v>311520</v>
      </c>
    </row>
    <row r="6406" spans="1:6" x14ac:dyDescent="0.25">
      <c r="A6406" s="8">
        <v>47101608</v>
      </c>
      <c r="B6406" s="9" t="str">
        <f t="shared" ca="1" si="129"/>
        <v>Floculantes</v>
      </c>
      <c r="C6406" s="33" t="s">
        <v>55</v>
      </c>
      <c r="D6406" s="8">
        <v>30</v>
      </c>
      <c r="E6406" s="11">
        <v>542.79999999999995</v>
      </c>
      <c r="F6406" s="10">
        <f t="shared" ca="1" si="130"/>
        <v>16283.999999999998</v>
      </c>
    </row>
    <row r="6407" spans="1:6" x14ac:dyDescent="0.25">
      <c r="A6407" s="8">
        <v>47131807</v>
      </c>
      <c r="B6407" s="9" t="str">
        <f t="shared" ca="1" si="129"/>
        <v>Blanqueadores</v>
      </c>
      <c r="C6407" s="33" t="s">
        <v>55</v>
      </c>
      <c r="D6407" s="8">
        <v>8</v>
      </c>
      <c r="E6407" s="11">
        <v>8142</v>
      </c>
      <c r="F6407" s="10">
        <f t="shared" ca="1" si="130"/>
        <v>65136</v>
      </c>
    </row>
    <row r="6408" spans="1:6" x14ac:dyDescent="0.25">
      <c r="A6408" s="8">
        <v>47101601</v>
      </c>
      <c r="B6408" s="9" t="str">
        <f t="shared" ca="1" si="129"/>
        <v>Alguicidas</v>
      </c>
      <c r="C6408" s="33" t="s">
        <v>55</v>
      </c>
      <c r="D6408" s="8">
        <v>20</v>
      </c>
      <c r="E6408" s="11">
        <v>2124</v>
      </c>
      <c r="F6408" s="10">
        <f t="shared" ca="1" si="130"/>
        <v>42480</v>
      </c>
    </row>
    <row r="6409" spans="1:6" x14ac:dyDescent="0.25">
      <c r="A6409" s="8">
        <v>47131807</v>
      </c>
      <c r="B6409" s="9" t="str">
        <f t="shared" ca="1" si="129"/>
        <v>Blanqueadores</v>
      </c>
      <c r="C6409" s="8" t="s">
        <v>92</v>
      </c>
      <c r="D6409" s="8">
        <v>35</v>
      </c>
      <c r="E6409" s="11">
        <v>1652</v>
      </c>
      <c r="F6409" s="10">
        <f t="shared" ca="1" si="130"/>
        <v>57820</v>
      </c>
    </row>
    <row r="6410" spans="1:6" x14ac:dyDescent="0.25">
      <c r="A6410" s="8">
        <v>40142501</v>
      </c>
      <c r="B6410" s="9" t="str">
        <f t="shared" ca="1" si="129"/>
        <v>Filtros (coladores) de líquido</v>
      </c>
      <c r="C6410" s="33" t="s">
        <v>55</v>
      </c>
      <c r="D6410" s="8">
        <v>2</v>
      </c>
      <c r="E6410" s="11">
        <v>1416</v>
      </c>
      <c r="F6410" s="10">
        <f t="shared" ca="1" si="130"/>
        <v>2832</v>
      </c>
    </row>
    <row r="6411" spans="1:6" x14ac:dyDescent="0.25">
      <c r="A6411" s="8">
        <v>24101511</v>
      </c>
      <c r="B6411" s="9" t="str">
        <f t="shared" ca="1" si="129"/>
        <v>Trolleys de estante</v>
      </c>
      <c r="C6411" s="33" t="s">
        <v>55</v>
      </c>
      <c r="D6411" s="8">
        <v>2</v>
      </c>
      <c r="E6411" s="11">
        <v>23128</v>
      </c>
      <c r="F6411" s="10">
        <f t="shared" ca="1" si="130"/>
        <v>46256</v>
      </c>
    </row>
    <row r="6412" spans="1:6" x14ac:dyDescent="0.25">
      <c r="A6412" s="8">
        <v>27112813</v>
      </c>
      <c r="B6412" s="9" t="str">
        <f t="shared" ca="1" si="129"/>
        <v>Vara de extensión</v>
      </c>
      <c r="C6412" s="33" t="s">
        <v>55</v>
      </c>
      <c r="D6412" s="8">
        <v>2</v>
      </c>
      <c r="E6412" s="11">
        <v>10127.6</v>
      </c>
      <c r="F6412" s="10">
        <f t="shared" ca="1" si="130"/>
        <v>20255.2</v>
      </c>
    </row>
    <row r="6413" spans="1:6" x14ac:dyDescent="0.25">
      <c r="A6413" s="8">
        <v>60104202</v>
      </c>
      <c r="B6413" s="9" t="str">
        <f t="shared" ca="1" si="129"/>
        <v>Kits de muestreo y pruebas del agua</v>
      </c>
      <c r="C6413" s="33" t="s">
        <v>55</v>
      </c>
      <c r="D6413" s="8">
        <v>2</v>
      </c>
      <c r="E6413" s="11">
        <v>1298</v>
      </c>
      <c r="F6413" s="10">
        <f t="shared" ca="1" si="130"/>
        <v>2596</v>
      </c>
    </row>
    <row r="6414" spans="1:6" x14ac:dyDescent="0.25">
      <c r="A6414" s="40"/>
      <c r="B6414" s="40"/>
      <c r="C6414" s="40"/>
      <c r="D6414" s="40"/>
      <c r="E6414" s="13" t="s">
        <v>87</v>
      </c>
      <c r="F6414" s="14">
        <f ca="1">SUM(Table3109279[MONTO TOTAL ESTIMADO])</f>
        <v>925580.7</v>
      </c>
    </row>
    <row r="6415" spans="1:6" ht="15.75" thickBot="1" x14ac:dyDescent="0.3">
      <c r="A6415" s="42"/>
      <c r="B6415" s="42"/>
      <c r="C6415" s="42"/>
      <c r="D6415" s="42"/>
      <c r="E6415" s="42"/>
      <c r="F6415" s="42"/>
    </row>
    <row r="6416" spans="1:6" ht="23.25" thickBot="1" x14ac:dyDescent="0.3">
      <c r="A6416" s="4" t="s">
        <v>19</v>
      </c>
      <c r="B6416" s="4" t="s">
        <v>20</v>
      </c>
      <c r="C6416" s="4" t="s">
        <v>21</v>
      </c>
      <c r="D6416" s="4" t="s">
        <v>22</v>
      </c>
      <c r="E6416" s="4" t="s">
        <v>23</v>
      </c>
      <c r="F6416" s="4" t="s">
        <v>24</v>
      </c>
    </row>
    <row r="6417" spans="1:6" ht="15.75" thickBot="1" x14ac:dyDescent="0.3">
      <c r="A6417" s="32" t="s">
        <v>418</v>
      </c>
      <c r="B6417" s="32" t="s">
        <v>419</v>
      </c>
      <c r="C6417" s="32" t="s">
        <v>27</v>
      </c>
      <c r="D6417" s="6" t="s">
        <v>188</v>
      </c>
      <c r="E6417" s="6" t="s">
        <v>262</v>
      </c>
      <c r="F6417" s="6"/>
    </row>
    <row r="6418" spans="1:6" ht="15.75" thickBot="1" x14ac:dyDescent="0.3">
      <c r="A6418" s="35" t="s">
        <v>31</v>
      </c>
      <c r="B6418" s="7" t="s">
        <v>32</v>
      </c>
      <c r="C6418" s="15">
        <v>45566</v>
      </c>
      <c r="D6418" s="35" t="s">
        <v>33</v>
      </c>
      <c r="E6418" s="7" t="s">
        <v>34</v>
      </c>
      <c r="F6418" s="6"/>
    </row>
    <row r="6419" spans="1:6" ht="15.75" thickBot="1" x14ac:dyDescent="0.3">
      <c r="A6419" s="36"/>
      <c r="B6419" s="7" t="s">
        <v>36</v>
      </c>
      <c r="C6419" s="5">
        <f>IF(C6418="","",IF(AND(MONTH(C6418)&gt;=1,MONTH(C6418)&lt;=3),1,IF(AND(MONTH(C6418)&gt;=4,MONTH(C6418)&lt;=6),2,IF(AND(MONTH(C6418)&gt;=7,MONTH(C6418)&lt;=9),3,4))))</f>
        <v>4</v>
      </c>
      <c r="D6419" s="36"/>
      <c r="E6419" s="7" t="s">
        <v>37</v>
      </c>
      <c r="F6419" s="6"/>
    </row>
    <row r="6420" spans="1:6" ht="15.75" thickBot="1" x14ac:dyDescent="0.3">
      <c r="A6420" s="36"/>
      <c r="B6420" s="7" t="s">
        <v>39</v>
      </c>
      <c r="C6420" s="15">
        <v>45656</v>
      </c>
      <c r="D6420" s="36"/>
      <c r="E6420" s="7" t="s">
        <v>40</v>
      </c>
      <c r="F6420" s="6"/>
    </row>
    <row r="6421" spans="1:6" ht="15.75" thickBot="1" x14ac:dyDescent="0.3">
      <c r="A6421" s="36"/>
      <c r="B6421" s="7" t="s">
        <v>36</v>
      </c>
      <c r="C6421" s="5">
        <f>IF(C6420="","",IF(AND(MONTH(C6420)&gt;=1,MONTH(C6420)&lt;=3),1,IF(AND(MONTH(C6420)&gt;=4,MONTH(C6420)&lt;=6),2,IF(AND(MONTH(C6420)&gt;=7,MONTH(C6420)&lt;=9),3,4))))</f>
        <v>4</v>
      </c>
      <c r="D6421" s="36"/>
      <c r="E6421" s="7" t="s">
        <v>41</v>
      </c>
      <c r="F6421" s="6"/>
    </row>
    <row r="6422" spans="1:6" ht="15.75" thickBot="1" x14ac:dyDescent="0.3">
      <c r="A6422" s="40"/>
      <c r="B6422" s="40"/>
      <c r="C6422" s="40"/>
      <c r="D6422" s="40"/>
      <c r="E6422" s="40"/>
      <c r="F6422" s="40"/>
    </row>
    <row r="6423" spans="1:6" ht="15.75" thickBot="1" x14ac:dyDescent="0.3">
      <c r="A6423" s="12" t="s">
        <v>42</v>
      </c>
      <c r="B6423" s="12" t="s">
        <v>43</v>
      </c>
      <c r="C6423" s="12" t="s">
        <v>44</v>
      </c>
      <c r="D6423" s="12" t="s">
        <v>45</v>
      </c>
      <c r="E6423" s="12" t="s">
        <v>46</v>
      </c>
      <c r="F6423" s="12" t="s">
        <v>47</v>
      </c>
    </row>
    <row r="6424" spans="1:6" x14ac:dyDescent="0.25">
      <c r="A6424" s="8">
        <v>40161513</v>
      </c>
      <c r="B6424" s="9" t="str">
        <f ca="1">IFERROR(INDEX(UNSPSCDes,MATCH(INDIRECT(ADDRESS(ROW(),COLUMN()-1,4)),UNSPSCCode,0)),"")</f>
        <v>Filtros de combustible</v>
      </c>
      <c r="C6424" s="8" t="s">
        <v>55</v>
      </c>
      <c r="D6424" s="8">
        <v>10</v>
      </c>
      <c r="E6424" s="11">
        <v>2124</v>
      </c>
      <c r="F6424" s="10">
        <f ca="1">INDIRECT(ADDRESS(ROW(),COLUMN()-2,4))*INDIRECT(ADDRESS(ROW(),COLUMN()-1,4))</f>
        <v>21240</v>
      </c>
    </row>
    <row r="6425" spans="1:6" x14ac:dyDescent="0.25">
      <c r="A6425" s="40"/>
      <c r="B6425" s="40"/>
      <c r="C6425" s="40"/>
      <c r="D6425" s="40"/>
      <c r="E6425" s="13" t="s">
        <v>87</v>
      </c>
      <c r="F6425" s="14">
        <f ca="1">SUM(Table3110280[MONTO TOTAL ESTIMADO])</f>
        <v>21240</v>
      </c>
    </row>
    <row r="6426" spans="1:6" ht="15.75" thickBot="1" x14ac:dyDescent="0.3">
      <c r="A6426" s="42"/>
      <c r="B6426" s="42"/>
      <c r="C6426" s="42"/>
      <c r="D6426" s="42"/>
      <c r="E6426" s="42"/>
      <c r="F6426" s="42"/>
    </row>
    <row r="6427" spans="1:6" ht="23.25" thickBot="1" x14ac:dyDescent="0.3">
      <c r="A6427" s="4" t="s">
        <v>19</v>
      </c>
      <c r="B6427" s="4" t="s">
        <v>20</v>
      </c>
      <c r="C6427" s="4" t="s">
        <v>21</v>
      </c>
      <c r="D6427" s="4" t="s">
        <v>22</v>
      </c>
      <c r="E6427" s="4" t="s">
        <v>23</v>
      </c>
      <c r="F6427" s="4" t="s">
        <v>24</v>
      </c>
    </row>
    <row r="6428" spans="1:6" ht="15.75" thickBot="1" x14ac:dyDescent="0.3">
      <c r="A6428" s="32" t="s">
        <v>420</v>
      </c>
      <c r="B6428" s="32" t="s">
        <v>421</v>
      </c>
      <c r="C6428" s="32" t="s">
        <v>27</v>
      </c>
      <c r="D6428" s="6" t="s">
        <v>188</v>
      </c>
      <c r="E6428" s="6" t="s">
        <v>262</v>
      </c>
      <c r="F6428" s="6"/>
    </row>
    <row r="6429" spans="1:6" ht="15.75" thickBot="1" x14ac:dyDescent="0.3">
      <c r="A6429" s="35" t="s">
        <v>31</v>
      </c>
      <c r="B6429" s="7" t="s">
        <v>32</v>
      </c>
      <c r="C6429" s="15">
        <v>45566</v>
      </c>
      <c r="D6429" s="35" t="s">
        <v>33</v>
      </c>
      <c r="E6429" s="7" t="s">
        <v>34</v>
      </c>
      <c r="F6429" s="6"/>
    </row>
    <row r="6430" spans="1:6" ht="15.75" thickBot="1" x14ac:dyDescent="0.3">
      <c r="A6430" s="36"/>
      <c r="B6430" s="7" t="s">
        <v>36</v>
      </c>
      <c r="C6430" s="5">
        <f>IF(C6429="","",IF(AND(MONTH(C6429)&gt;=1,MONTH(C6429)&lt;=3),1,IF(AND(MONTH(C6429)&gt;=4,MONTH(C6429)&lt;=6),2,IF(AND(MONTH(C6429)&gt;=7,MONTH(C6429)&lt;=9),3,4))))</f>
        <v>4</v>
      </c>
      <c r="D6430" s="36"/>
      <c r="E6430" s="7" t="s">
        <v>37</v>
      </c>
      <c r="F6430" s="6"/>
    </row>
    <row r="6431" spans="1:6" ht="15.75" thickBot="1" x14ac:dyDescent="0.3">
      <c r="A6431" s="36"/>
      <c r="B6431" s="7" t="s">
        <v>39</v>
      </c>
      <c r="C6431" s="15">
        <v>45656</v>
      </c>
      <c r="D6431" s="36"/>
      <c r="E6431" s="7" t="s">
        <v>40</v>
      </c>
      <c r="F6431" s="6"/>
    </row>
    <row r="6432" spans="1:6" ht="15.75" thickBot="1" x14ac:dyDescent="0.3">
      <c r="A6432" s="36"/>
      <c r="B6432" s="7" t="s">
        <v>36</v>
      </c>
      <c r="C6432" s="5">
        <f>IF(C6431="","",IF(AND(MONTH(C6431)&gt;=1,MONTH(C6431)&lt;=3),1,IF(AND(MONTH(C6431)&gt;=4,MONTH(C6431)&lt;=6),2,IF(AND(MONTH(C6431)&gt;=7,MONTH(C6431)&lt;=9),3,4))))</f>
        <v>4</v>
      </c>
      <c r="D6432" s="36"/>
      <c r="E6432" s="7" t="s">
        <v>41</v>
      </c>
      <c r="F6432" s="6"/>
    </row>
    <row r="6433" spans="1:6" ht="15.75" thickBot="1" x14ac:dyDescent="0.3">
      <c r="A6433" s="40"/>
      <c r="B6433" s="40"/>
      <c r="C6433" s="40"/>
      <c r="D6433" s="40"/>
      <c r="E6433" s="40"/>
      <c r="F6433" s="40"/>
    </row>
    <row r="6434" spans="1:6" ht="15.75" thickBot="1" x14ac:dyDescent="0.3">
      <c r="A6434" s="12" t="s">
        <v>42</v>
      </c>
      <c r="B6434" s="12" t="s">
        <v>43</v>
      </c>
      <c r="C6434" s="12" t="s">
        <v>44</v>
      </c>
      <c r="D6434" s="12" t="s">
        <v>45</v>
      </c>
      <c r="E6434" s="12" t="s">
        <v>46</v>
      </c>
      <c r="F6434" s="12" t="s">
        <v>47</v>
      </c>
    </row>
    <row r="6435" spans="1:6" x14ac:dyDescent="0.25">
      <c r="A6435" s="8">
        <v>13101723</v>
      </c>
      <c r="B6435" s="9" t="str">
        <f t="shared" ref="B6435:B6441" ca="1" si="131">IFERROR(INDEX(UNSPSCDes,MATCH(INDIRECT(ADDRESS(ROW(),COLUMN()-1,4)),UNSPSCCode,0)),"")</f>
        <v>Termoplástico</v>
      </c>
      <c r="C6435" s="8" t="s">
        <v>55</v>
      </c>
      <c r="D6435" s="8">
        <v>10</v>
      </c>
      <c r="E6435" s="11">
        <v>3120</v>
      </c>
      <c r="F6435" s="10">
        <f t="shared" ref="F6435:F6441" ca="1" si="132">INDIRECT(ADDRESS(ROW(),COLUMN()-2,4))*INDIRECT(ADDRESS(ROW(),COLUMN()-1,4))</f>
        <v>31200</v>
      </c>
    </row>
    <row r="6436" spans="1:6" x14ac:dyDescent="0.25">
      <c r="A6436" s="8">
        <v>13101723</v>
      </c>
      <c r="B6436" s="9" t="str">
        <f t="shared" ca="1" si="131"/>
        <v>Termoplástico</v>
      </c>
      <c r="C6436" s="33" t="s">
        <v>55</v>
      </c>
      <c r="D6436" s="8">
        <v>15</v>
      </c>
      <c r="E6436" s="11">
        <v>2022</v>
      </c>
      <c r="F6436" s="10">
        <f t="shared" ca="1" si="132"/>
        <v>30330</v>
      </c>
    </row>
    <row r="6437" spans="1:6" x14ac:dyDescent="0.25">
      <c r="A6437" s="8">
        <v>13101723</v>
      </c>
      <c r="B6437" s="9" t="str">
        <f t="shared" ca="1" si="131"/>
        <v>Termoplástico</v>
      </c>
      <c r="C6437" s="33" t="s">
        <v>55</v>
      </c>
      <c r="D6437" s="8">
        <v>30</v>
      </c>
      <c r="E6437" s="11">
        <v>870</v>
      </c>
      <c r="F6437" s="10">
        <f t="shared" ca="1" si="132"/>
        <v>26100</v>
      </c>
    </row>
    <row r="6438" spans="1:6" x14ac:dyDescent="0.25">
      <c r="A6438" s="8">
        <v>48101909</v>
      </c>
      <c r="B6438" s="9" t="str">
        <f t="shared" ca="1" si="131"/>
        <v>Teteras o cafeteras para servicio de comidas</v>
      </c>
      <c r="C6438" s="33" t="s">
        <v>55</v>
      </c>
      <c r="D6438" s="8">
        <v>20</v>
      </c>
      <c r="E6438" s="11">
        <v>1139.99</v>
      </c>
      <c r="F6438" s="10">
        <f t="shared" ca="1" si="132"/>
        <v>22799.8</v>
      </c>
    </row>
    <row r="6439" spans="1:6" x14ac:dyDescent="0.25">
      <c r="A6439" s="8">
        <v>52151704</v>
      </c>
      <c r="B6439" s="9" t="str">
        <f t="shared" ca="1" si="131"/>
        <v>Cucharas para uso doméstico</v>
      </c>
      <c r="C6439" s="33" t="s">
        <v>49</v>
      </c>
      <c r="D6439" s="8">
        <v>3</v>
      </c>
      <c r="E6439" s="11">
        <v>1176</v>
      </c>
      <c r="F6439" s="10">
        <f t="shared" ca="1" si="132"/>
        <v>3528</v>
      </c>
    </row>
    <row r="6440" spans="1:6" x14ac:dyDescent="0.25">
      <c r="A6440" s="8">
        <v>52121604</v>
      </c>
      <c r="B6440" s="9" t="str">
        <f t="shared" ca="1" si="131"/>
        <v>Manteles</v>
      </c>
      <c r="C6440" s="33" t="s">
        <v>55</v>
      </c>
      <c r="D6440" s="8">
        <v>10</v>
      </c>
      <c r="E6440" s="11">
        <v>720</v>
      </c>
      <c r="F6440" s="10">
        <f t="shared" ca="1" si="132"/>
        <v>7200</v>
      </c>
    </row>
    <row r="6441" spans="1:6" x14ac:dyDescent="0.25">
      <c r="A6441" s="8">
        <v>52152103</v>
      </c>
      <c r="B6441" s="9" t="str">
        <f t="shared" ca="1" si="131"/>
        <v>Tazones (“mugs”) para uso doméstico</v>
      </c>
      <c r="C6441" s="33" t="s">
        <v>55</v>
      </c>
      <c r="D6441" s="8">
        <v>10</v>
      </c>
      <c r="E6441" s="11">
        <v>863.99</v>
      </c>
      <c r="F6441" s="10">
        <f t="shared" ca="1" si="132"/>
        <v>8639.9</v>
      </c>
    </row>
    <row r="6442" spans="1:6" x14ac:dyDescent="0.25">
      <c r="A6442" s="40"/>
      <c r="B6442" s="40"/>
      <c r="C6442" s="40"/>
      <c r="D6442" s="40"/>
      <c r="E6442" s="13" t="s">
        <v>87</v>
      </c>
      <c r="F6442" s="14">
        <f ca="1">SUM(Table3111281[MONTO TOTAL ESTIMADO])</f>
        <v>129797.7</v>
      </c>
    </row>
    <row r="6443" spans="1:6" ht="15.75" thickBot="1" x14ac:dyDescent="0.3">
      <c r="A6443" s="42"/>
      <c r="B6443" s="42"/>
      <c r="C6443" s="42"/>
      <c r="D6443" s="42"/>
      <c r="E6443" s="42"/>
      <c r="F6443" s="42"/>
    </row>
    <row r="6444" spans="1:6" ht="23.25" thickBot="1" x14ac:dyDescent="0.3">
      <c r="A6444" s="4" t="s">
        <v>19</v>
      </c>
      <c r="B6444" s="4" t="s">
        <v>20</v>
      </c>
      <c r="C6444" s="4" t="s">
        <v>21</v>
      </c>
      <c r="D6444" s="4" t="s">
        <v>22</v>
      </c>
      <c r="E6444" s="4" t="s">
        <v>23</v>
      </c>
      <c r="F6444" s="4" t="s">
        <v>24</v>
      </c>
    </row>
    <row r="6445" spans="1:6" ht="15.75" thickBot="1" x14ac:dyDescent="0.3">
      <c r="A6445" s="32" t="s">
        <v>427</v>
      </c>
      <c r="B6445" s="32" t="s">
        <v>225</v>
      </c>
      <c r="C6445" s="32" t="s">
        <v>27</v>
      </c>
      <c r="D6445" s="6" t="s">
        <v>28</v>
      </c>
      <c r="E6445" s="6" t="s">
        <v>262</v>
      </c>
      <c r="F6445" s="6"/>
    </row>
    <row r="6446" spans="1:6" ht="15.75" thickBot="1" x14ac:dyDescent="0.3">
      <c r="A6446" s="35" t="s">
        <v>31</v>
      </c>
      <c r="B6446" s="7" t="s">
        <v>32</v>
      </c>
      <c r="C6446" s="15">
        <v>45566</v>
      </c>
      <c r="D6446" s="35" t="s">
        <v>33</v>
      </c>
      <c r="E6446" s="7" t="s">
        <v>34</v>
      </c>
      <c r="F6446" s="6"/>
    </row>
    <row r="6447" spans="1:6" ht="15.75" thickBot="1" x14ac:dyDescent="0.3">
      <c r="A6447" s="36"/>
      <c r="B6447" s="7" t="s">
        <v>36</v>
      </c>
      <c r="C6447" s="5">
        <f>IF(C6446="","",IF(AND(MONTH(C6446)&gt;=1,MONTH(C6446)&lt;=3),1,IF(AND(MONTH(C6446)&gt;=4,MONTH(C6446)&lt;=6),2,IF(AND(MONTH(C6446)&gt;=7,MONTH(C6446)&lt;=9),3,4))))</f>
        <v>4</v>
      </c>
      <c r="D6447" s="36"/>
      <c r="E6447" s="7" t="s">
        <v>37</v>
      </c>
      <c r="F6447" s="6"/>
    </row>
    <row r="6448" spans="1:6" ht="15.75" thickBot="1" x14ac:dyDescent="0.3">
      <c r="A6448" s="36"/>
      <c r="B6448" s="7" t="s">
        <v>39</v>
      </c>
      <c r="C6448" s="15">
        <v>45656</v>
      </c>
      <c r="D6448" s="36"/>
      <c r="E6448" s="7" t="s">
        <v>40</v>
      </c>
      <c r="F6448" s="6"/>
    </row>
    <row r="6449" spans="1:6" ht="15.75" thickBot="1" x14ac:dyDescent="0.3">
      <c r="A6449" s="36"/>
      <c r="B6449" s="7" t="s">
        <v>36</v>
      </c>
      <c r="C6449" s="5">
        <f>IF(C6448="","",IF(AND(MONTH(C6448)&gt;=1,MONTH(C6448)&lt;=3),1,IF(AND(MONTH(C6448)&gt;=4,MONTH(C6448)&lt;=6),2,IF(AND(MONTH(C6448)&gt;=7,MONTH(C6448)&lt;=9),3,4))))</f>
        <v>4</v>
      </c>
      <c r="D6449" s="36"/>
      <c r="E6449" s="7" t="s">
        <v>41</v>
      </c>
      <c r="F6449" s="6"/>
    </row>
    <row r="6450" spans="1:6" ht="15.75" thickBot="1" x14ac:dyDescent="0.3">
      <c r="A6450" s="40"/>
      <c r="B6450" s="40"/>
      <c r="C6450" s="40"/>
      <c r="D6450" s="40"/>
      <c r="E6450" s="40"/>
      <c r="F6450" s="40"/>
    </row>
    <row r="6451" spans="1:6" ht="15.75" thickBot="1" x14ac:dyDescent="0.3">
      <c r="A6451" s="12" t="s">
        <v>42</v>
      </c>
      <c r="B6451" s="12" t="s">
        <v>43</v>
      </c>
      <c r="C6451" s="12" t="s">
        <v>44</v>
      </c>
      <c r="D6451" s="12" t="s">
        <v>45</v>
      </c>
      <c r="E6451" s="12" t="s">
        <v>46</v>
      </c>
      <c r="F6451" s="12" t="s">
        <v>47</v>
      </c>
    </row>
    <row r="6452" spans="1:6" x14ac:dyDescent="0.25">
      <c r="A6452" s="8">
        <v>44121615</v>
      </c>
      <c r="B6452" s="9" t="str">
        <f t="shared" ref="B6452:B6475" ca="1" si="133">IFERROR(INDEX(UNSPSCDes,MATCH(INDIRECT(ADDRESS(ROW(),COLUMN()-1,4)),UNSPSCCode,0)),"")</f>
        <v>Grapadoras</v>
      </c>
      <c r="C6452" s="33" t="s">
        <v>55</v>
      </c>
      <c r="D6452" s="8">
        <v>60</v>
      </c>
      <c r="E6452" s="11">
        <v>147.5</v>
      </c>
      <c r="F6452" s="10">
        <f t="shared" ref="F6452:F6475" ca="1" si="134">INDIRECT(ADDRESS(ROW(),COLUMN()-2,4))*INDIRECT(ADDRESS(ROW(),COLUMN()-1,4))</f>
        <v>8850</v>
      </c>
    </row>
    <row r="6453" spans="1:6" x14ac:dyDescent="0.25">
      <c r="A6453" s="8">
        <v>44121613</v>
      </c>
      <c r="B6453" s="9" t="str">
        <f t="shared" ca="1" si="133"/>
        <v>Removedores de grapas (saca ganchos)</v>
      </c>
      <c r="C6453" s="33" t="s">
        <v>55</v>
      </c>
      <c r="D6453" s="8">
        <v>60</v>
      </c>
      <c r="E6453" s="11">
        <v>30.68</v>
      </c>
      <c r="F6453" s="10">
        <f t="shared" ca="1" si="134"/>
        <v>1840.8</v>
      </c>
    </row>
    <row r="6454" spans="1:6" x14ac:dyDescent="0.25">
      <c r="A6454" s="8">
        <v>44122104</v>
      </c>
      <c r="B6454" s="9" t="str">
        <f t="shared" ca="1" si="133"/>
        <v>Clips para papel</v>
      </c>
      <c r="C6454" s="8" t="s">
        <v>49</v>
      </c>
      <c r="D6454" s="8">
        <v>120</v>
      </c>
      <c r="E6454" s="11">
        <v>18.88</v>
      </c>
      <c r="F6454" s="10">
        <f t="shared" ca="1" si="134"/>
        <v>2265.6</v>
      </c>
    </row>
    <row r="6455" spans="1:6" x14ac:dyDescent="0.25">
      <c r="A6455" s="8">
        <v>44122104</v>
      </c>
      <c r="B6455" s="9" t="str">
        <f t="shared" ca="1" si="133"/>
        <v>Clips para papel</v>
      </c>
      <c r="C6455" s="33" t="s">
        <v>49</v>
      </c>
      <c r="D6455" s="8">
        <v>120</v>
      </c>
      <c r="E6455" s="11">
        <v>41.3</v>
      </c>
      <c r="F6455" s="10">
        <f t="shared" ca="1" si="134"/>
        <v>4956</v>
      </c>
    </row>
    <row r="6456" spans="1:6" x14ac:dyDescent="0.25">
      <c r="A6456" s="8">
        <v>44121701</v>
      </c>
      <c r="B6456" s="9" t="str">
        <f t="shared" ca="1" si="133"/>
        <v>Bolígrafos</v>
      </c>
      <c r="C6456" s="33" t="s">
        <v>49</v>
      </c>
      <c r="D6456" s="8">
        <v>60</v>
      </c>
      <c r="E6456" s="11">
        <v>72</v>
      </c>
      <c r="F6456" s="10">
        <f t="shared" ca="1" si="134"/>
        <v>4320</v>
      </c>
    </row>
    <row r="6457" spans="1:6" x14ac:dyDescent="0.25">
      <c r="A6457" s="8">
        <v>14111507</v>
      </c>
      <c r="B6457" s="9" t="str">
        <f t="shared" ca="1" si="133"/>
        <v>Papel para impresora o fotocopiadora</v>
      </c>
      <c r="C6457" s="8" t="s">
        <v>51</v>
      </c>
      <c r="D6457" s="8">
        <v>120</v>
      </c>
      <c r="E6457" s="11">
        <v>344.5</v>
      </c>
      <c r="F6457" s="10">
        <f t="shared" ca="1" si="134"/>
        <v>41340</v>
      </c>
    </row>
    <row r="6458" spans="1:6" x14ac:dyDescent="0.25">
      <c r="A6458" s="8">
        <v>14111507</v>
      </c>
      <c r="B6458" s="9" t="str">
        <f t="shared" ca="1" si="133"/>
        <v>Papel para impresora o fotocopiadora</v>
      </c>
      <c r="C6458" s="33" t="s">
        <v>51</v>
      </c>
      <c r="D6458" s="8">
        <v>480</v>
      </c>
      <c r="E6458" s="11">
        <v>226.56</v>
      </c>
      <c r="F6458" s="10">
        <f t="shared" ca="1" si="134"/>
        <v>108748.8</v>
      </c>
    </row>
    <row r="6459" spans="1:6" x14ac:dyDescent="0.25">
      <c r="A6459" s="8">
        <v>44121506</v>
      </c>
      <c r="B6459" s="9" t="str">
        <f t="shared" ca="1" si="133"/>
        <v>Sobres estándar</v>
      </c>
      <c r="C6459" s="33" t="s">
        <v>49</v>
      </c>
      <c r="D6459" s="8">
        <v>240</v>
      </c>
      <c r="E6459" s="11">
        <v>3304</v>
      </c>
      <c r="F6459" s="10">
        <f t="shared" ca="1" si="134"/>
        <v>792960</v>
      </c>
    </row>
    <row r="6460" spans="1:6" x14ac:dyDescent="0.25">
      <c r="A6460" s="8">
        <v>44121506</v>
      </c>
      <c r="B6460" s="9" t="str">
        <f t="shared" ca="1" si="133"/>
        <v>Sobres estándar</v>
      </c>
      <c r="C6460" s="33" t="s">
        <v>49</v>
      </c>
      <c r="D6460" s="8">
        <v>60</v>
      </c>
      <c r="E6460" s="11">
        <v>3037.32</v>
      </c>
      <c r="F6460" s="10">
        <f t="shared" ca="1" si="134"/>
        <v>182239.2</v>
      </c>
    </row>
    <row r="6461" spans="1:6" x14ac:dyDescent="0.25">
      <c r="A6461" s="8">
        <v>44121506</v>
      </c>
      <c r="B6461" s="9" t="str">
        <f t="shared" ca="1" si="133"/>
        <v>Sobres estándar</v>
      </c>
      <c r="C6461" s="33" t="s">
        <v>49</v>
      </c>
      <c r="D6461" s="8">
        <v>60</v>
      </c>
      <c r="E6461" s="11">
        <v>2676.24</v>
      </c>
      <c r="F6461" s="10">
        <f t="shared" ca="1" si="134"/>
        <v>160574.39999999999</v>
      </c>
    </row>
    <row r="6462" spans="1:6" x14ac:dyDescent="0.25">
      <c r="A6462" s="8">
        <v>44122011</v>
      </c>
      <c r="B6462" s="9" t="str">
        <f t="shared" ca="1" si="133"/>
        <v>Folders</v>
      </c>
      <c r="C6462" s="33" t="s">
        <v>49</v>
      </c>
      <c r="D6462" s="8">
        <v>120</v>
      </c>
      <c r="E6462" s="11">
        <v>254.88</v>
      </c>
      <c r="F6462" s="10">
        <f t="shared" ca="1" si="134"/>
        <v>30585.599999999999</v>
      </c>
    </row>
    <row r="6463" spans="1:6" x14ac:dyDescent="0.25">
      <c r="A6463" s="8">
        <v>14111807</v>
      </c>
      <c r="B6463" s="9" t="str">
        <f t="shared" ca="1" si="133"/>
        <v>Libros comerciales para múltiples usos</v>
      </c>
      <c r="C6463" s="33" t="s">
        <v>55</v>
      </c>
      <c r="D6463" s="8">
        <v>60</v>
      </c>
      <c r="E6463" s="11">
        <v>230.1</v>
      </c>
      <c r="F6463" s="10">
        <f t="shared" ca="1" si="134"/>
        <v>13806</v>
      </c>
    </row>
    <row r="6464" spans="1:6" x14ac:dyDescent="0.25">
      <c r="A6464" s="8">
        <v>14111526</v>
      </c>
      <c r="B6464" s="9" t="str">
        <f t="shared" ca="1" si="133"/>
        <v>Papel libretas o libros de mensajes telefónicos</v>
      </c>
      <c r="C6464" s="33" t="s">
        <v>55</v>
      </c>
      <c r="D6464" s="8">
        <v>120</v>
      </c>
      <c r="E6464" s="11">
        <v>30.68</v>
      </c>
      <c r="F6464" s="10">
        <f t="shared" ca="1" si="134"/>
        <v>3681.6</v>
      </c>
    </row>
    <row r="6465" spans="1:6" x14ac:dyDescent="0.25">
      <c r="A6465" s="8">
        <v>14111526</v>
      </c>
      <c r="B6465" s="9" t="str">
        <f t="shared" ca="1" si="133"/>
        <v>Papel libretas o libros de mensajes telefónicos</v>
      </c>
      <c r="C6465" s="33" t="s">
        <v>55</v>
      </c>
      <c r="D6465" s="8">
        <v>120</v>
      </c>
      <c r="E6465" s="11">
        <v>18.88</v>
      </c>
      <c r="F6465" s="10">
        <f t="shared" ca="1" si="134"/>
        <v>2265.6</v>
      </c>
    </row>
    <row r="6466" spans="1:6" x14ac:dyDescent="0.25">
      <c r="A6466" s="8">
        <v>14111514</v>
      </c>
      <c r="B6466" s="9" t="str">
        <f t="shared" ca="1" si="133"/>
        <v>Blocs o cuadernos de papel</v>
      </c>
      <c r="C6466" s="33" t="s">
        <v>55</v>
      </c>
      <c r="D6466" s="8">
        <v>240</v>
      </c>
      <c r="E6466" s="11">
        <v>46.02</v>
      </c>
      <c r="F6466" s="10">
        <f t="shared" ca="1" si="134"/>
        <v>11044.800000000001</v>
      </c>
    </row>
    <row r="6467" spans="1:6" x14ac:dyDescent="0.25">
      <c r="A6467" s="8">
        <v>44121708</v>
      </c>
      <c r="B6467" s="9" t="str">
        <f t="shared" ca="1" si="133"/>
        <v>Marcadores</v>
      </c>
      <c r="C6467" s="33" t="s">
        <v>55</v>
      </c>
      <c r="D6467" s="8">
        <v>180</v>
      </c>
      <c r="E6467" s="11">
        <v>12.98</v>
      </c>
      <c r="F6467" s="10">
        <f t="shared" ca="1" si="134"/>
        <v>2336.4</v>
      </c>
    </row>
    <row r="6468" spans="1:6" x14ac:dyDescent="0.25">
      <c r="A6468" s="8">
        <v>44121708</v>
      </c>
      <c r="B6468" s="9" t="str">
        <f t="shared" ca="1" si="133"/>
        <v>Marcadores</v>
      </c>
      <c r="C6468" s="33" t="s">
        <v>55</v>
      </c>
      <c r="D6468" s="8">
        <v>300</v>
      </c>
      <c r="E6468" s="11">
        <v>22.42</v>
      </c>
      <c r="F6468" s="10">
        <f t="shared" ca="1" si="134"/>
        <v>6726.0000000000009</v>
      </c>
    </row>
    <row r="6469" spans="1:6" x14ac:dyDescent="0.25">
      <c r="A6469" s="8">
        <v>44121804</v>
      </c>
      <c r="B6469" s="9" t="str">
        <f t="shared" ca="1" si="133"/>
        <v>Borradores</v>
      </c>
      <c r="C6469" s="33" t="s">
        <v>55</v>
      </c>
      <c r="D6469" s="8">
        <v>80</v>
      </c>
      <c r="E6469" s="11">
        <v>37.76</v>
      </c>
      <c r="F6469" s="10">
        <f t="shared" ca="1" si="134"/>
        <v>3020.7999999999997</v>
      </c>
    </row>
    <row r="6470" spans="1:6" x14ac:dyDescent="0.25">
      <c r="A6470" s="8">
        <v>31201512</v>
      </c>
      <c r="B6470" s="9" t="str">
        <f t="shared" ca="1" si="133"/>
        <v>Cinta transparente</v>
      </c>
      <c r="C6470" s="33" t="s">
        <v>55</v>
      </c>
      <c r="D6470" s="8">
        <v>120</v>
      </c>
      <c r="E6470" s="11">
        <v>11.59</v>
      </c>
      <c r="F6470" s="10">
        <f t="shared" ca="1" si="134"/>
        <v>1390.8</v>
      </c>
    </row>
    <row r="6471" spans="1:6" x14ac:dyDescent="0.25">
      <c r="A6471" s="8">
        <v>31201512</v>
      </c>
      <c r="B6471" s="9" t="str">
        <f t="shared" ca="1" si="133"/>
        <v>Cinta transparente</v>
      </c>
      <c r="C6471" s="33" t="s">
        <v>55</v>
      </c>
      <c r="D6471" s="8">
        <v>120</v>
      </c>
      <c r="E6471" s="11">
        <v>59</v>
      </c>
      <c r="F6471" s="10">
        <f t="shared" ca="1" si="134"/>
        <v>7080</v>
      </c>
    </row>
    <row r="6472" spans="1:6" x14ac:dyDescent="0.25">
      <c r="A6472" s="8">
        <v>44122101</v>
      </c>
      <c r="B6472" s="9" t="str">
        <f t="shared" ca="1" si="133"/>
        <v>Cauchos</v>
      </c>
      <c r="C6472" s="33" t="s">
        <v>49</v>
      </c>
      <c r="D6472" s="8">
        <v>60</v>
      </c>
      <c r="E6472" s="11">
        <v>28.32</v>
      </c>
      <c r="F6472" s="10">
        <f t="shared" ca="1" si="134"/>
        <v>1699.2</v>
      </c>
    </row>
    <row r="6473" spans="1:6" x14ac:dyDescent="0.25">
      <c r="A6473" s="8">
        <v>44121802</v>
      </c>
      <c r="B6473" s="9" t="str">
        <f t="shared" ca="1" si="133"/>
        <v>Fluido de corrección</v>
      </c>
      <c r="C6473" s="33" t="s">
        <v>55</v>
      </c>
      <c r="D6473" s="8">
        <v>50</v>
      </c>
      <c r="E6473" s="11">
        <v>24.78</v>
      </c>
      <c r="F6473" s="10">
        <f t="shared" ca="1" si="134"/>
        <v>1239</v>
      </c>
    </row>
    <row r="6474" spans="1:6" x14ac:dyDescent="0.25">
      <c r="A6474" s="8">
        <v>44122105</v>
      </c>
      <c r="B6474" s="9" t="str">
        <f t="shared" ca="1" si="133"/>
        <v>Clips para carpetas o bulldog</v>
      </c>
      <c r="C6474" s="33" t="s">
        <v>49</v>
      </c>
      <c r="D6474" s="8">
        <v>36</v>
      </c>
      <c r="E6474" s="11">
        <v>68.44</v>
      </c>
      <c r="F6474" s="10">
        <f t="shared" ca="1" si="134"/>
        <v>2463.84</v>
      </c>
    </row>
    <row r="6475" spans="1:6" x14ac:dyDescent="0.25">
      <c r="A6475" s="8">
        <v>44101603</v>
      </c>
      <c r="B6475" s="9" t="str">
        <f t="shared" ca="1" si="133"/>
        <v>Máquinas trituradoras de papel o accesorios</v>
      </c>
      <c r="C6475" s="33" t="s">
        <v>55</v>
      </c>
      <c r="D6475" s="8">
        <v>2</v>
      </c>
      <c r="E6475" s="11">
        <v>27268.62</v>
      </c>
      <c r="F6475" s="10">
        <f t="shared" ca="1" si="134"/>
        <v>54537.24</v>
      </c>
    </row>
    <row r="6476" spans="1:6" x14ac:dyDescent="0.25">
      <c r="A6476" s="40"/>
      <c r="B6476" s="40"/>
      <c r="C6476" s="40"/>
      <c r="D6476" s="40"/>
      <c r="E6476" s="13" t="s">
        <v>87</v>
      </c>
      <c r="F6476" s="14">
        <f ca="1">SUM(Table3112282[MONTO TOTAL ESTIMADO])</f>
        <v>1449971.6800000002</v>
      </c>
    </row>
    <row r="6477" spans="1:6" ht="15.75" thickBot="1" x14ac:dyDescent="0.3">
      <c r="A6477" s="42"/>
      <c r="B6477" s="42"/>
      <c r="C6477" s="42"/>
      <c r="D6477" s="42"/>
      <c r="E6477" s="42"/>
      <c r="F6477" s="42"/>
    </row>
    <row r="6478" spans="1:6" ht="23.25" thickBot="1" x14ac:dyDescent="0.3">
      <c r="A6478" s="4" t="s">
        <v>19</v>
      </c>
      <c r="B6478" s="4" t="s">
        <v>20</v>
      </c>
      <c r="C6478" s="4" t="s">
        <v>21</v>
      </c>
      <c r="D6478" s="4" t="s">
        <v>22</v>
      </c>
      <c r="E6478" s="4" t="s">
        <v>23</v>
      </c>
      <c r="F6478" s="4" t="s">
        <v>24</v>
      </c>
    </row>
    <row r="6479" spans="1:6" ht="15.75" thickBot="1" x14ac:dyDescent="0.3">
      <c r="A6479" s="32" t="s">
        <v>434</v>
      </c>
      <c r="B6479" s="32" t="s">
        <v>435</v>
      </c>
      <c r="C6479" s="32" t="s">
        <v>27</v>
      </c>
      <c r="D6479" s="6" t="s">
        <v>28</v>
      </c>
      <c r="E6479" s="6" t="s">
        <v>262</v>
      </c>
      <c r="F6479" s="6"/>
    </row>
    <row r="6480" spans="1:6" ht="15.75" thickBot="1" x14ac:dyDescent="0.3">
      <c r="A6480" s="35" t="s">
        <v>31</v>
      </c>
      <c r="B6480" s="7" t="s">
        <v>32</v>
      </c>
      <c r="C6480" s="15">
        <v>45566</v>
      </c>
      <c r="D6480" s="35" t="s">
        <v>33</v>
      </c>
      <c r="E6480" s="7" t="s">
        <v>34</v>
      </c>
      <c r="F6480" s="6"/>
    </row>
    <row r="6481" spans="1:6" ht="15.75" thickBot="1" x14ac:dyDescent="0.3">
      <c r="A6481" s="36"/>
      <c r="B6481" s="7" t="s">
        <v>36</v>
      </c>
      <c r="C6481" s="5">
        <f>IF(C6480="","",IF(AND(MONTH(C6480)&gt;=1,MONTH(C6480)&lt;=3),1,IF(AND(MONTH(C6480)&gt;=4,MONTH(C6480)&lt;=6),2,IF(AND(MONTH(C6480)&gt;=7,MONTH(C6480)&lt;=9),3,4))))</f>
        <v>4</v>
      </c>
      <c r="D6481" s="36"/>
      <c r="E6481" s="7" t="s">
        <v>37</v>
      </c>
      <c r="F6481" s="6"/>
    </row>
    <row r="6482" spans="1:6" ht="15.75" thickBot="1" x14ac:dyDescent="0.3">
      <c r="A6482" s="36"/>
      <c r="B6482" s="7" t="s">
        <v>39</v>
      </c>
      <c r="C6482" s="15">
        <v>45656</v>
      </c>
      <c r="D6482" s="36"/>
      <c r="E6482" s="7" t="s">
        <v>40</v>
      </c>
      <c r="F6482" s="6"/>
    </row>
    <row r="6483" spans="1:6" ht="15.75" thickBot="1" x14ac:dyDescent="0.3">
      <c r="A6483" s="36"/>
      <c r="B6483" s="7" t="s">
        <v>36</v>
      </c>
      <c r="C6483" s="5">
        <f>IF(C6482="","",IF(AND(MONTH(C6482)&gt;=1,MONTH(C6482)&lt;=3),1,IF(AND(MONTH(C6482)&gt;=4,MONTH(C6482)&lt;=6),2,IF(AND(MONTH(C6482)&gt;=7,MONTH(C6482)&lt;=9),3,4))))</f>
        <v>4</v>
      </c>
      <c r="D6483" s="36"/>
      <c r="E6483" s="7" t="s">
        <v>41</v>
      </c>
      <c r="F6483" s="6"/>
    </row>
    <row r="6484" spans="1:6" ht="15.75" thickBot="1" x14ac:dyDescent="0.3">
      <c r="A6484" s="40"/>
      <c r="B6484" s="40"/>
      <c r="C6484" s="40"/>
      <c r="D6484" s="40"/>
      <c r="E6484" s="40"/>
      <c r="F6484" s="40"/>
    </row>
    <row r="6485" spans="1:6" ht="15.75" thickBot="1" x14ac:dyDescent="0.3">
      <c r="A6485" s="12" t="s">
        <v>42</v>
      </c>
      <c r="B6485" s="12" t="s">
        <v>43</v>
      </c>
      <c r="C6485" s="12" t="s">
        <v>44</v>
      </c>
      <c r="D6485" s="12" t="s">
        <v>45</v>
      </c>
      <c r="E6485" s="12" t="s">
        <v>46</v>
      </c>
      <c r="F6485" s="12" t="s">
        <v>47</v>
      </c>
    </row>
    <row r="6486" spans="1:6" x14ac:dyDescent="0.25">
      <c r="A6486" s="8">
        <v>40161502</v>
      </c>
      <c r="B6486" s="9" t="str">
        <f ca="1">IFERROR(INDEX(UNSPSCDes,MATCH(INDIRECT(ADDRESS(ROW(),COLUMN()-1,4)),UNSPSCCode,0)),"")</f>
        <v>Filtros de agua</v>
      </c>
      <c r="C6486" s="8" t="s">
        <v>55</v>
      </c>
      <c r="D6486" s="8">
        <v>50</v>
      </c>
      <c r="E6486" s="11">
        <v>259.60000000000002</v>
      </c>
      <c r="F6486" s="10">
        <f ca="1">INDIRECT(ADDRESS(ROW(),COLUMN()-2,4))*INDIRECT(ADDRESS(ROW(),COLUMN()-1,4))</f>
        <v>12980.000000000002</v>
      </c>
    </row>
    <row r="6487" spans="1:6" x14ac:dyDescent="0.25">
      <c r="A6487" s="8">
        <v>40161505</v>
      </c>
      <c r="B6487" s="9" t="str">
        <f ca="1">IFERROR(INDEX(UNSPSCDes,MATCH(INDIRECT(ADDRESS(ROW(),COLUMN()-1,4)),UNSPSCCode,0)),"")</f>
        <v>Filtros de aire</v>
      </c>
      <c r="C6487" s="33" t="s">
        <v>55</v>
      </c>
      <c r="D6487" s="8">
        <v>4</v>
      </c>
      <c r="E6487" s="11">
        <v>18946.080000000002</v>
      </c>
      <c r="F6487" s="10">
        <f ca="1">INDIRECT(ADDRESS(ROW(),COLUMN()-2,4))*INDIRECT(ADDRESS(ROW(),COLUMN()-1,4))</f>
        <v>75784.320000000007</v>
      </c>
    </row>
    <row r="6488" spans="1:6" x14ac:dyDescent="0.25">
      <c r="A6488" s="8">
        <v>40161504</v>
      </c>
      <c r="B6488" s="9" t="str">
        <f ca="1">IFERROR(INDEX(UNSPSCDes,MATCH(INDIRECT(ADDRESS(ROW(),COLUMN()-1,4)),UNSPSCCode,0)),"")</f>
        <v>Filtros de aceite</v>
      </c>
      <c r="C6488" s="33" t="s">
        <v>55</v>
      </c>
      <c r="D6488" s="8">
        <v>50</v>
      </c>
      <c r="E6488" s="11">
        <v>1416</v>
      </c>
      <c r="F6488" s="10">
        <f ca="1">INDIRECT(ADDRESS(ROW(),COLUMN()-2,4))*INDIRECT(ADDRESS(ROW(),COLUMN()-1,4))</f>
        <v>70800</v>
      </c>
    </row>
    <row r="6489" spans="1:6" x14ac:dyDescent="0.25">
      <c r="A6489" s="8">
        <v>15121501</v>
      </c>
      <c r="B6489" s="9" t="str">
        <f ca="1">IFERROR(INDEX(UNSPSCDes,MATCH(INDIRECT(ADDRESS(ROW(),COLUMN()-1,4)),UNSPSCCode,0)),"")</f>
        <v>Aceite motor</v>
      </c>
      <c r="C6489" s="33" t="s">
        <v>55</v>
      </c>
      <c r="D6489" s="8">
        <v>15</v>
      </c>
      <c r="E6489" s="11">
        <v>49560</v>
      </c>
      <c r="F6489" s="10">
        <f ca="1">INDIRECT(ADDRESS(ROW(),COLUMN()-2,4))*INDIRECT(ADDRESS(ROW(),COLUMN()-1,4))</f>
        <v>743400</v>
      </c>
    </row>
    <row r="6490" spans="1:6" x14ac:dyDescent="0.25">
      <c r="A6490" s="8">
        <v>40151506</v>
      </c>
      <c r="B6490" s="9" t="str">
        <f ca="1">IFERROR(INDEX(UNSPSCDes,MATCH(INDIRECT(ADDRESS(ROW(),COLUMN()-1,4)),UNSPSCCode,0)),"")</f>
        <v>Bombas de mano</v>
      </c>
      <c r="C6490" s="33" t="s">
        <v>55</v>
      </c>
      <c r="D6490" s="8">
        <v>2</v>
      </c>
      <c r="E6490" s="11">
        <v>7708.94</v>
      </c>
      <c r="F6490" s="10">
        <f ca="1">INDIRECT(ADDRESS(ROW(),COLUMN()-2,4))*INDIRECT(ADDRESS(ROW(),COLUMN()-1,4))</f>
        <v>15417.88</v>
      </c>
    </row>
    <row r="6491" spans="1:6" x14ac:dyDescent="0.25">
      <c r="A6491" s="40"/>
      <c r="B6491" s="40"/>
      <c r="C6491" s="40"/>
      <c r="D6491" s="40"/>
      <c r="E6491" s="13" t="s">
        <v>87</v>
      </c>
      <c r="F6491" s="14">
        <f ca="1">SUM(Table3113283[MONTO TOTAL ESTIMADO])</f>
        <v>918382.20000000007</v>
      </c>
    </row>
    <row r="6492" spans="1:6" ht="15.75" thickBot="1" x14ac:dyDescent="0.3">
      <c r="A6492" s="42"/>
      <c r="B6492" s="42"/>
      <c r="C6492" s="42"/>
      <c r="D6492" s="42"/>
      <c r="E6492" s="42"/>
      <c r="F6492" s="42"/>
    </row>
    <row r="6493" spans="1:6" ht="23.25" thickBot="1" x14ac:dyDescent="0.3">
      <c r="A6493" s="4" t="s">
        <v>19</v>
      </c>
      <c r="B6493" s="4" t="s">
        <v>20</v>
      </c>
      <c r="C6493" s="4" t="s">
        <v>21</v>
      </c>
      <c r="D6493" s="4" t="s">
        <v>22</v>
      </c>
      <c r="E6493" s="4" t="s">
        <v>23</v>
      </c>
      <c r="F6493" s="4" t="s">
        <v>24</v>
      </c>
    </row>
    <row r="6494" spans="1:6" ht="15.75" thickBot="1" x14ac:dyDescent="0.3">
      <c r="A6494" s="32" t="s">
        <v>439</v>
      </c>
      <c r="B6494" s="32" t="s">
        <v>440</v>
      </c>
      <c r="C6494" s="32" t="s">
        <v>27</v>
      </c>
      <c r="D6494" s="6" t="s">
        <v>28</v>
      </c>
      <c r="E6494" s="6" t="s">
        <v>262</v>
      </c>
      <c r="F6494" s="6"/>
    </row>
    <row r="6495" spans="1:6" ht="15.75" thickBot="1" x14ac:dyDescent="0.3">
      <c r="A6495" s="35" t="s">
        <v>31</v>
      </c>
      <c r="B6495" s="7" t="s">
        <v>32</v>
      </c>
      <c r="C6495" s="15">
        <v>45566</v>
      </c>
      <c r="D6495" s="35" t="s">
        <v>33</v>
      </c>
      <c r="E6495" s="7" t="s">
        <v>34</v>
      </c>
      <c r="F6495" s="6"/>
    </row>
    <row r="6496" spans="1:6" ht="15.75" thickBot="1" x14ac:dyDescent="0.3">
      <c r="A6496" s="36"/>
      <c r="B6496" s="7" t="s">
        <v>36</v>
      </c>
      <c r="C6496" s="5">
        <f>IF(C6495="","",IF(AND(MONTH(C6495)&gt;=1,MONTH(C6495)&lt;=3),1,IF(AND(MONTH(C6495)&gt;=4,MONTH(C6495)&lt;=6),2,IF(AND(MONTH(C6495)&gt;=7,MONTH(C6495)&lt;=9),3,4))))</f>
        <v>4</v>
      </c>
      <c r="D6496" s="36"/>
      <c r="E6496" s="7" t="s">
        <v>37</v>
      </c>
      <c r="F6496" s="6"/>
    </row>
    <row r="6497" spans="1:6" ht="15.75" thickBot="1" x14ac:dyDescent="0.3">
      <c r="A6497" s="36"/>
      <c r="B6497" s="7" t="s">
        <v>39</v>
      </c>
      <c r="C6497" s="15">
        <v>45656</v>
      </c>
      <c r="D6497" s="36"/>
      <c r="E6497" s="7" t="s">
        <v>40</v>
      </c>
      <c r="F6497" s="6"/>
    </row>
    <row r="6498" spans="1:6" ht="15.75" thickBot="1" x14ac:dyDescent="0.3">
      <c r="A6498" s="36"/>
      <c r="B6498" s="7" t="s">
        <v>36</v>
      </c>
      <c r="C6498" s="5">
        <f>IF(C6497="","",IF(AND(MONTH(C6497)&gt;=1,MONTH(C6497)&lt;=3),1,IF(AND(MONTH(C6497)&gt;=4,MONTH(C6497)&lt;=6),2,IF(AND(MONTH(C6497)&gt;=7,MONTH(C6497)&lt;=9),3,4))))</f>
        <v>4</v>
      </c>
      <c r="D6498" s="36"/>
      <c r="E6498" s="7" t="s">
        <v>41</v>
      </c>
      <c r="F6498" s="6"/>
    </row>
    <row r="6499" spans="1:6" ht="15.75" thickBot="1" x14ac:dyDescent="0.3">
      <c r="A6499" s="40"/>
      <c r="B6499" s="40"/>
      <c r="C6499" s="40"/>
      <c r="D6499" s="40"/>
      <c r="E6499" s="40"/>
      <c r="F6499" s="40"/>
    </row>
    <row r="6500" spans="1:6" ht="15.75" thickBot="1" x14ac:dyDescent="0.3">
      <c r="A6500" s="12" t="s">
        <v>42</v>
      </c>
      <c r="B6500" s="12" t="s">
        <v>43</v>
      </c>
      <c r="C6500" s="12" t="s">
        <v>44</v>
      </c>
      <c r="D6500" s="12" t="s">
        <v>45</v>
      </c>
      <c r="E6500" s="12" t="s">
        <v>46</v>
      </c>
      <c r="F6500" s="12" t="s">
        <v>47</v>
      </c>
    </row>
    <row r="6501" spans="1:6" x14ac:dyDescent="0.25">
      <c r="A6501" s="8">
        <v>47121806</v>
      </c>
      <c r="B6501" s="9" t="str">
        <f ca="1">IFERROR(INDEX(UNSPSCDes,MATCH(INDIRECT(ADDRESS(ROW(),COLUMN()-1,4)),UNSPSCCode,0)),"")</f>
        <v>Escurridor de trapero</v>
      </c>
      <c r="C6501" s="8" t="s">
        <v>55</v>
      </c>
      <c r="D6501" s="8">
        <v>50</v>
      </c>
      <c r="E6501" s="11">
        <v>3481</v>
      </c>
      <c r="F6501" s="10">
        <f ca="1">INDIRECT(ADDRESS(ROW(),COLUMN()-2,4))*INDIRECT(ADDRESS(ROW(),COLUMN()-1,4))</f>
        <v>174050</v>
      </c>
    </row>
    <row r="6502" spans="1:6" x14ac:dyDescent="0.25">
      <c r="A6502" s="8">
        <v>47121806</v>
      </c>
      <c r="B6502" s="9" t="str">
        <f ca="1">IFERROR(INDEX(UNSPSCDes,MATCH(INDIRECT(ADDRESS(ROW(),COLUMN()-1,4)),UNSPSCCode,0)),"")</f>
        <v>Escurridor de trapero</v>
      </c>
      <c r="C6502" s="33" t="s">
        <v>55</v>
      </c>
      <c r="D6502" s="8">
        <v>12</v>
      </c>
      <c r="E6502" s="11">
        <v>8201</v>
      </c>
      <c r="F6502" s="10">
        <f ca="1">INDIRECT(ADDRESS(ROW(),COLUMN()-2,4))*INDIRECT(ADDRESS(ROW(),COLUMN()-1,4))</f>
        <v>98412</v>
      </c>
    </row>
    <row r="6503" spans="1:6" x14ac:dyDescent="0.25">
      <c r="A6503" s="8">
        <v>47121702</v>
      </c>
      <c r="B6503" s="9" t="str">
        <f ca="1">IFERROR(INDEX(UNSPSCDes,MATCH(INDIRECT(ADDRESS(ROW(),COLUMN()-1,4)),UNSPSCCode,0)),"")</f>
        <v>Contenedores de desperdicios o revestimientos rígidos</v>
      </c>
      <c r="C6503" s="33" t="s">
        <v>55</v>
      </c>
      <c r="D6503" s="8">
        <v>50</v>
      </c>
      <c r="E6503" s="11">
        <v>885</v>
      </c>
      <c r="F6503" s="10">
        <f ca="1">INDIRECT(ADDRESS(ROW(),COLUMN()-2,4))*INDIRECT(ADDRESS(ROW(),COLUMN()-1,4))</f>
        <v>44250</v>
      </c>
    </row>
    <row r="6504" spans="1:6" x14ac:dyDescent="0.25">
      <c r="A6504" s="40"/>
      <c r="B6504" s="40"/>
      <c r="C6504" s="40"/>
      <c r="D6504" s="40"/>
      <c r="E6504" s="13" t="s">
        <v>87</v>
      </c>
      <c r="F6504" s="14">
        <f ca="1">SUM(Table3114284[MONTO TOTAL ESTIMADO])</f>
        <v>316712</v>
      </c>
    </row>
    <row r="6505" spans="1:6" ht="15.75" thickBot="1" x14ac:dyDescent="0.3">
      <c r="A6505" s="42"/>
      <c r="B6505" s="42"/>
      <c r="C6505" s="42"/>
      <c r="D6505" s="42"/>
      <c r="E6505" s="42"/>
      <c r="F6505" s="42"/>
    </row>
    <row r="6506" spans="1:6" ht="23.25" thickBot="1" x14ac:dyDescent="0.3">
      <c r="A6506" s="4" t="s">
        <v>19</v>
      </c>
      <c r="B6506" s="4" t="s">
        <v>20</v>
      </c>
      <c r="C6506" s="4" t="s">
        <v>21</v>
      </c>
      <c r="D6506" s="4" t="s">
        <v>22</v>
      </c>
      <c r="E6506" s="4" t="s">
        <v>23</v>
      </c>
      <c r="F6506" s="4" t="s">
        <v>24</v>
      </c>
    </row>
    <row r="6507" spans="1:6" ht="15.75" thickBot="1" x14ac:dyDescent="0.3">
      <c r="A6507" s="32" t="s">
        <v>441</v>
      </c>
      <c r="B6507" s="32" t="s">
        <v>442</v>
      </c>
      <c r="C6507" s="32" t="s">
        <v>27</v>
      </c>
      <c r="D6507" s="6" t="s">
        <v>28</v>
      </c>
      <c r="E6507" s="6" t="s">
        <v>262</v>
      </c>
      <c r="F6507" s="6"/>
    </row>
    <row r="6508" spans="1:6" ht="15.75" thickBot="1" x14ac:dyDescent="0.3">
      <c r="A6508" s="35" t="s">
        <v>31</v>
      </c>
      <c r="B6508" s="7" t="s">
        <v>32</v>
      </c>
      <c r="C6508" s="15">
        <v>45566</v>
      </c>
      <c r="D6508" s="35" t="s">
        <v>33</v>
      </c>
      <c r="E6508" s="7" t="s">
        <v>34</v>
      </c>
      <c r="F6508" s="6"/>
    </row>
    <row r="6509" spans="1:6" ht="15.75" thickBot="1" x14ac:dyDescent="0.3">
      <c r="A6509" s="36"/>
      <c r="B6509" s="7" t="s">
        <v>36</v>
      </c>
      <c r="C6509" s="5">
        <f>IF(C6508="","",IF(AND(MONTH(C6508)&gt;=1,MONTH(C6508)&lt;=3),1,IF(AND(MONTH(C6508)&gt;=4,MONTH(C6508)&lt;=6),2,IF(AND(MONTH(C6508)&gt;=7,MONTH(C6508)&lt;=9),3,4))))</f>
        <v>4</v>
      </c>
      <c r="D6509" s="36"/>
      <c r="E6509" s="7" t="s">
        <v>37</v>
      </c>
      <c r="F6509" s="6"/>
    </row>
    <row r="6510" spans="1:6" ht="15.75" thickBot="1" x14ac:dyDescent="0.3">
      <c r="A6510" s="36"/>
      <c r="B6510" s="7" t="s">
        <v>39</v>
      </c>
      <c r="C6510" s="15">
        <v>45656</v>
      </c>
      <c r="D6510" s="36"/>
      <c r="E6510" s="7" t="s">
        <v>40</v>
      </c>
      <c r="F6510" s="6"/>
    </row>
    <row r="6511" spans="1:6" ht="15.75" thickBot="1" x14ac:dyDescent="0.3">
      <c r="A6511" s="36"/>
      <c r="B6511" s="7" t="s">
        <v>36</v>
      </c>
      <c r="C6511" s="5">
        <f>IF(C6510="","",IF(AND(MONTH(C6510)&gt;=1,MONTH(C6510)&lt;=3),1,IF(AND(MONTH(C6510)&gt;=4,MONTH(C6510)&lt;=6),2,IF(AND(MONTH(C6510)&gt;=7,MONTH(C6510)&lt;=9),3,4))))</f>
        <v>4</v>
      </c>
      <c r="D6511" s="36"/>
      <c r="E6511" s="7" t="s">
        <v>41</v>
      </c>
      <c r="F6511" s="6"/>
    </row>
    <row r="6512" spans="1:6" ht="15.75" thickBot="1" x14ac:dyDescent="0.3">
      <c r="A6512" s="40"/>
      <c r="B6512" s="40"/>
      <c r="C6512" s="40"/>
      <c r="D6512" s="40"/>
      <c r="E6512" s="40"/>
      <c r="F6512" s="40"/>
    </row>
    <row r="6513" spans="1:6" ht="15.75" thickBot="1" x14ac:dyDescent="0.3">
      <c r="A6513" s="12" t="s">
        <v>42</v>
      </c>
      <c r="B6513" s="12" t="s">
        <v>43</v>
      </c>
      <c r="C6513" s="12" t="s">
        <v>44</v>
      </c>
      <c r="D6513" s="12" t="s">
        <v>45</v>
      </c>
      <c r="E6513" s="12" t="s">
        <v>46</v>
      </c>
      <c r="F6513" s="12" t="s">
        <v>47</v>
      </c>
    </row>
    <row r="6514" spans="1:6" x14ac:dyDescent="0.25">
      <c r="A6514" s="8">
        <v>31211508</v>
      </c>
      <c r="B6514" s="9" t="str">
        <f t="shared" ref="B6514:B6520" ca="1" si="135">IFERROR(INDEX(UNSPSCDes,MATCH(INDIRECT(ADDRESS(ROW(),COLUMN()-1,4)),UNSPSCCode,0)),"")</f>
        <v>Pinturas acrílicas</v>
      </c>
      <c r="C6514" s="33" t="s">
        <v>55</v>
      </c>
      <c r="D6514" s="8">
        <v>20</v>
      </c>
      <c r="E6514" s="11">
        <v>2360</v>
      </c>
      <c r="F6514" s="10">
        <f t="shared" ref="F6514:F6520" ca="1" si="136">INDIRECT(ADDRESS(ROW(),COLUMN()-2,4))*INDIRECT(ADDRESS(ROW(),COLUMN()-1,4))</f>
        <v>47200</v>
      </c>
    </row>
    <row r="6515" spans="1:6" x14ac:dyDescent="0.25">
      <c r="A6515" s="8">
        <v>31211508</v>
      </c>
      <c r="B6515" s="9" t="str">
        <f t="shared" ca="1" si="135"/>
        <v>Pinturas acrílicas</v>
      </c>
      <c r="C6515" s="33" t="s">
        <v>55</v>
      </c>
      <c r="D6515" s="8">
        <v>30</v>
      </c>
      <c r="E6515" s="11">
        <v>2596</v>
      </c>
      <c r="F6515" s="10">
        <f t="shared" ca="1" si="136"/>
        <v>77880</v>
      </c>
    </row>
    <row r="6516" spans="1:6" x14ac:dyDescent="0.25">
      <c r="A6516" s="8">
        <v>31211508</v>
      </c>
      <c r="B6516" s="9" t="str">
        <f t="shared" ca="1" si="135"/>
        <v>Pinturas acrílicas</v>
      </c>
      <c r="C6516" s="33" t="s">
        <v>55</v>
      </c>
      <c r="D6516" s="8">
        <v>10</v>
      </c>
      <c r="E6516" s="11">
        <v>2360</v>
      </c>
      <c r="F6516" s="10">
        <f t="shared" ca="1" si="136"/>
        <v>23600</v>
      </c>
    </row>
    <row r="6517" spans="1:6" x14ac:dyDescent="0.25">
      <c r="A6517" s="8">
        <v>31211508</v>
      </c>
      <c r="B6517" s="9" t="str">
        <f t="shared" ca="1" si="135"/>
        <v>Pinturas acrílicas</v>
      </c>
      <c r="C6517" s="33" t="s">
        <v>55</v>
      </c>
      <c r="D6517" s="8">
        <v>30</v>
      </c>
      <c r="E6517" s="11">
        <v>1770</v>
      </c>
      <c r="F6517" s="10">
        <f t="shared" ca="1" si="136"/>
        <v>53100</v>
      </c>
    </row>
    <row r="6518" spans="1:6" x14ac:dyDescent="0.25">
      <c r="A6518" s="8">
        <v>31211508</v>
      </c>
      <c r="B6518" s="9" t="str">
        <f t="shared" ca="1" si="135"/>
        <v>Pinturas acrílicas</v>
      </c>
      <c r="C6518" s="33" t="s">
        <v>55</v>
      </c>
      <c r="D6518" s="8">
        <v>15</v>
      </c>
      <c r="E6518" s="11">
        <v>1534</v>
      </c>
      <c r="F6518" s="10">
        <f t="shared" ca="1" si="136"/>
        <v>23010</v>
      </c>
    </row>
    <row r="6519" spans="1:6" x14ac:dyDescent="0.25">
      <c r="A6519" s="8">
        <v>31211508</v>
      </c>
      <c r="B6519" s="9" t="str">
        <f t="shared" ca="1" si="135"/>
        <v>Pinturas acrílicas</v>
      </c>
      <c r="C6519" s="33" t="s">
        <v>55</v>
      </c>
      <c r="D6519" s="8">
        <v>15</v>
      </c>
      <c r="E6519" s="11">
        <v>1534</v>
      </c>
      <c r="F6519" s="10">
        <f t="shared" ca="1" si="136"/>
        <v>23010</v>
      </c>
    </row>
    <row r="6520" spans="1:6" x14ac:dyDescent="0.25">
      <c r="A6520" s="8">
        <v>31211508</v>
      </c>
      <c r="B6520" s="9" t="str">
        <f t="shared" ca="1" si="135"/>
        <v>Pinturas acrílicas</v>
      </c>
      <c r="C6520" s="33" t="s">
        <v>55</v>
      </c>
      <c r="D6520" s="8">
        <v>30</v>
      </c>
      <c r="E6520" s="11">
        <v>531</v>
      </c>
      <c r="F6520" s="10">
        <f t="shared" ca="1" si="136"/>
        <v>15930</v>
      </c>
    </row>
    <row r="6521" spans="1:6" x14ac:dyDescent="0.25">
      <c r="A6521" s="40"/>
      <c r="B6521" s="40"/>
      <c r="C6521" s="40"/>
      <c r="D6521" s="40"/>
      <c r="E6521" s="13" t="s">
        <v>87</v>
      </c>
      <c r="F6521" s="14">
        <f ca="1">SUM(Table3115285[MONTO TOTAL ESTIMADO])</f>
        <v>263730</v>
      </c>
    </row>
    <row r="6522" spans="1:6" ht="15.75" thickBot="1" x14ac:dyDescent="0.3">
      <c r="A6522" s="42"/>
      <c r="B6522" s="42"/>
      <c r="C6522" s="42"/>
      <c r="D6522" s="42"/>
      <c r="E6522" s="42"/>
      <c r="F6522" s="42"/>
    </row>
    <row r="6523" spans="1:6" ht="23.25" thickBot="1" x14ac:dyDescent="0.3">
      <c r="A6523" s="4" t="s">
        <v>19</v>
      </c>
      <c r="B6523" s="4" t="s">
        <v>20</v>
      </c>
      <c r="C6523" s="4" t="s">
        <v>21</v>
      </c>
      <c r="D6523" s="4" t="s">
        <v>22</v>
      </c>
      <c r="E6523" s="4" t="s">
        <v>23</v>
      </c>
      <c r="F6523" s="4" t="s">
        <v>24</v>
      </c>
    </row>
    <row r="6524" spans="1:6" ht="15.75" thickBot="1" x14ac:dyDescent="0.3">
      <c r="A6524" s="32" t="s">
        <v>444</v>
      </c>
      <c r="B6524" s="32" t="s">
        <v>445</v>
      </c>
      <c r="C6524" s="32" t="s">
        <v>27</v>
      </c>
      <c r="D6524" s="6" t="s">
        <v>188</v>
      </c>
      <c r="E6524" s="6" t="s">
        <v>262</v>
      </c>
      <c r="F6524" s="6"/>
    </row>
    <row r="6525" spans="1:6" ht="15.75" thickBot="1" x14ac:dyDescent="0.3">
      <c r="A6525" s="35" t="s">
        <v>31</v>
      </c>
      <c r="B6525" s="7" t="s">
        <v>32</v>
      </c>
      <c r="C6525" s="15">
        <v>45566</v>
      </c>
      <c r="D6525" s="35" t="s">
        <v>33</v>
      </c>
      <c r="E6525" s="7" t="s">
        <v>34</v>
      </c>
      <c r="F6525" s="6"/>
    </row>
    <row r="6526" spans="1:6" ht="15.75" thickBot="1" x14ac:dyDescent="0.3">
      <c r="A6526" s="36"/>
      <c r="B6526" s="7" t="s">
        <v>36</v>
      </c>
      <c r="C6526" s="5">
        <f>IF(C6525="","",IF(AND(MONTH(C6525)&gt;=1,MONTH(C6525)&lt;=3),1,IF(AND(MONTH(C6525)&gt;=4,MONTH(C6525)&lt;=6),2,IF(AND(MONTH(C6525)&gt;=7,MONTH(C6525)&lt;=9),3,4))))</f>
        <v>4</v>
      </c>
      <c r="D6526" s="36"/>
      <c r="E6526" s="7" t="s">
        <v>37</v>
      </c>
      <c r="F6526" s="6"/>
    </row>
    <row r="6527" spans="1:6" ht="15.75" thickBot="1" x14ac:dyDescent="0.3">
      <c r="A6527" s="36"/>
      <c r="B6527" s="7" t="s">
        <v>39</v>
      </c>
      <c r="C6527" s="15">
        <v>45656</v>
      </c>
      <c r="D6527" s="36"/>
      <c r="E6527" s="7" t="s">
        <v>40</v>
      </c>
      <c r="F6527" s="6"/>
    </row>
    <row r="6528" spans="1:6" ht="15.75" thickBot="1" x14ac:dyDescent="0.3">
      <c r="A6528" s="36"/>
      <c r="B6528" s="7" t="s">
        <v>36</v>
      </c>
      <c r="C6528" s="5">
        <f>IF(C6527="","",IF(AND(MONTH(C6527)&gt;=1,MONTH(C6527)&lt;=3),1,IF(AND(MONTH(C6527)&gt;=4,MONTH(C6527)&lt;=6),2,IF(AND(MONTH(C6527)&gt;=7,MONTH(C6527)&lt;=9),3,4))))</f>
        <v>4</v>
      </c>
      <c r="D6528" s="36"/>
      <c r="E6528" s="7" t="s">
        <v>41</v>
      </c>
      <c r="F6528" s="6"/>
    </row>
    <row r="6529" spans="1:6" ht="15.75" thickBot="1" x14ac:dyDescent="0.3">
      <c r="A6529" s="40"/>
      <c r="B6529" s="40"/>
      <c r="C6529" s="40"/>
      <c r="D6529" s="40"/>
      <c r="E6529" s="40"/>
      <c r="F6529" s="40"/>
    </row>
    <row r="6530" spans="1:6" ht="15.75" thickBot="1" x14ac:dyDescent="0.3">
      <c r="A6530" s="12" t="s">
        <v>42</v>
      </c>
      <c r="B6530" s="12" t="s">
        <v>43</v>
      </c>
      <c r="C6530" s="12" t="s">
        <v>44</v>
      </c>
      <c r="D6530" s="12" t="s">
        <v>45</v>
      </c>
      <c r="E6530" s="12" t="s">
        <v>46</v>
      </c>
      <c r="F6530" s="12" t="s">
        <v>47</v>
      </c>
    </row>
    <row r="6531" spans="1:6" x14ac:dyDescent="0.25">
      <c r="A6531" s="8">
        <v>39101605</v>
      </c>
      <c r="B6531" s="9" t="str">
        <f ca="1">IFERROR(INDEX(UNSPSCDes,MATCH(INDIRECT(ADDRESS(ROW(),COLUMN()-1,4)),UNSPSCCode,0)),"")</f>
        <v>Lámparas fluorescentes</v>
      </c>
      <c r="C6531" s="33" t="s">
        <v>55</v>
      </c>
      <c r="D6531" s="8">
        <v>180</v>
      </c>
      <c r="E6531" s="11">
        <v>1298</v>
      </c>
      <c r="F6531" s="10">
        <f ca="1">INDIRECT(ADDRESS(ROW(),COLUMN()-2,4))*INDIRECT(ADDRESS(ROW(),COLUMN()-1,4))</f>
        <v>233640</v>
      </c>
    </row>
    <row r="6532" spans="1:6" x14ac:dyDescent="0.25">
      <c r="A6532" s="40"/>
      <c r="B6532" s="40"/>
      <c r="C6532" s="40"/>
      <c r="D6532" s="40"/>
      <c r="E6532" s="13" t="s">
        <v>87</v>
      </c>
      <c r="F6532" s="14">
        <f ca="1">SUM(Table3116286[MONTO TOTAL ESTIMADO])</f>
        <v>233640</v>
      </c>
    </row>
    <row r="6533" spans="1:6" ht="15.75" thickBot="1" x14ac:dyDescent="0.3">
      <c r="A6533" s="42"/>
      <c r="B6533" s="42"/>
      <c r="C6533" s="42"/>
      <c r="D6533" s="42"/>
      <c r="E6533" s="42"/>
      <c r="F6533" s="42"/>
    </row>
    <row r="6534" spans="1:6" ht="23.25" thickBot="1" x14ac:dyDescent="0.3">
      <c r="A6534" s="4" t="s">
        <v>19</v>
      </c>
      <c r="B6534" s="4" t="s">
        <v>20</v>
      </c>
      <c r="C6534" s="4" t="s">
        <v>21</v>
      </c>
      <c r="D6534" s="4" t="s">
        <v>22</v>
      </c>
      <c r="E6534" s="4" t="s">
        <v>23</v>
      </c>
      <c r="F6534" s="4" t="s">
        <v>24</v>
      </c>
    </row>
    <row r="6535" spans="1:6" ht="15.75" thickBot="1" x14ac:dyDescent="0.3">
      <c r="A6535" s="32" t="s">
        <v>447</v>
      </c>
      <c r="B6535" s="32" t="s">
        <v>448</v>
      </c>
      <c r="C6535" s="32" t="s">
        <v>27</v>
      </c>
      <c r="D6535" s="6" t="s">
        <v>188</v>
      </c>
      <c r="E6535" s="6" t="s">
        <v>262</v>
      </c>
      <c r="F6535" s="6"/>
    </row>
    <row r="6536" spans="1:6" ht="15.75" thickBot="1" x14ac:dyDescent="0.3">
      <c r="A6536" s="35" t="s">
        <v>31</v>
      </c>
      <c r="B6536" s="7" t="s">
        <v>32</v>
      </c>
      <c r="C6536" s="15">
        <v>45566</v>
      </c>
      <c r="D6536" s="35" t="s">
        <v>33</v>
      </c>
      <c r="E6536" s="7" t="s">
        <v>34</v>
      </c>
      <c r="F6536" s="6"/>
    </row>
    <row r="6537" spans="1:6" ht="15.75" thickBot="1" x14ac:dyDescent="0.3">
      <c r="A6537" s="36"/>
      <c r="B6537" s="7" t="s">
        <v>36</v>
      </c>
      <c r="C6537" s="5">
        <f>IF(C6536="","",IF(AND(MONTH(C6536)&gt;=1,MONTH(C6536)&lt;=3),1,IF(AND(MONTH(C6536)&gt;=4,MONTH(C6536)&lt;=6),2,IF(AND(MONTH(C6536)&gt;=7,MONTH(C6536)&lt;=9),3,4))))</f>
        <v>4</v>
      </c>
      <c r="D6537" s="36"/>
      <c r="E6537" s="7" t="s">
        <v>37</v>
      </c>
      <c r="F6537" s="6"/>
    </row>
    <row r="6538" spans="1:6" ht="15.75" thickBot="1" x14ac:dyDescent="0.3">
      <c r="A6538" s="36"/>
      <c r="B6538" s="7" t="s">
        <v>39</v>
      </c>
      <c r="C6538" s="15">
        <v>45656</v>
      </c>
      <c r="D6538" s="36"/>
      <c r="E6538" s="7" t="s">
        <v>40</v>
      </c>
      <c r="F6538" s="6"/>
    </row>
    <row r="6539" spans="1:6" ht="15.75" thickBot="1" x14ac:dyDescent="0.3">
      <c r="A6539" s="36"/>
      <c r="B6539" s="7" t="s">
        <v>36</v>
      </c>
      <c r="C6539" s="5">
        <f>IF(C6538="","",IF(AND(MONTH(C6538)&gt;=1,MONTH(C6538)&lt;=3),1,IF(AND(MONTH(C6538)&gt;=4,MONTH(C6538)&lt;=6),2,IF(AND(MONTH(C6538)&gt;=7,MONTH(C6538)&lt;=9),3,4))))</f>
        <v>4</v>
      </c>
      <c r="D6539" s="36"/>
      <c r="E6539" s="7" t="s">
        <v>41</v>
      </c>
      <c r="F6539" s="6"/>
    </row>
    <row r="6540" spans="1:6" ht="15.75" thickBot="1" x14ac:dyDescent="0.3">
      <c r="A6540" s="40"/>
      <c r="B6540" s="40"/>
      <c r="C6540" s="40"/>
      <c r="D6540" s="40"/>
      <c r="E6540" s="40"/>
      <c r="F6540" s="40"/>
    </row>
    <row r="6541" spans="1:6" ht="15.75" thickBot="1" x14ac:dyDescent="0.3">
      <c r="A6541" s="12" t="s">
        <v>42</v>
      </c>
      <c r="B6541" s="12" t="s">
        <v>43</v>
      </c>
      <c r="C6541" s="12" t="s">
        <v>44</v>
      </c>
      <c r="D6541" s="12" t="s">
        <v>45</v>
      </c>
      <c r="E6541" s="12" t="s">
        <v>46</v>
      </c>
      <c r="F6541" s="12" t="s">
        <v>47</v>
      </c>
    </row>
    <row r="6542" spans="1:6" x14ac:dyDescent="0.25">
      <c r="A6542" s="8">
        <v>46181525</v>
      </c>
      <c r="B6542" s="9" t="str">
        <f ca="1">IFERROR(INDEX(UNSPSCDes,MATCH(INDIRECT(ADDRESS(ROW(),COLUMN()-1,4)),UNSPSCCode,0)),"")</f>
        <v>Ropa impermeable protectora o ropa para ambiente húmedo</v>
      </c>
      <c r="C6542" s="8" t="s">
        <v>55</v>
      </c>
      <c r="D6542" s="8">
        <v>25</v>
      </c>
      <c r="E6542" s="11">
        <v>885.85</v>
      </c>
      <c r="F6542" s="10">
        <f ca="1">INDIRECT(ADDRESS(ROW(),COLUMN()-2,4))*INDIRECT(ADDRESS(ROW(),COLUMN()-1,4))</f>
        <v>22146.25</v>
      </c>
    </row>
    <row r="6543" spans="1:6" x14ac:dyDescent="0.25">
      <c r="A6543" s="8">
        <v>46181604</v>
      </c>
      <c r="B6543" s="9" t="str">
        <f ca="1">IFERROR(INDEX(UNSPSCDes,MATCH(INDIRECT(ADDRESS(ROW(),COLUMN()-1,4)),UNSPSCCode,0)),"")</f>
        <v>Botas de seguridad</v>
      </c>
      <c r="C6543" s="33" t="s">
        <v>55</v>
      </c>
      <c r="D6543" s="8">
        <v>25</v>
      </c>
      <c r="E6543" s="11">
        <v>792.37</v>
      </c>
      <c r="F6543" s="10">
        <f ca="1">INDIRECT(ADDRESS(ROW(),COLUMN()-2,4))*INDIRECT(ADDRESS(ROW(),COLUMN()-1,4))</f>
        <v>19809.25</v>
      </c>
    </row>
    <row r="6544" spans="1:6" x14ac:dyDescent="0.25">
      <c r="A6544" s="40"/>
      <c r="B6544" s="40"/>
      <c r="C6544" s="40"/>
      <c r="D6544" s="40"/>
      <c r="E6544" s="13" t="s">
        <v>87</v>
      </c>
      <c r="F6544" s="14">
        <f ca="1">SUM(Table3117287[MONTO TOTAL ESTIMADO])</f>
        <v>41955.5</v>
      </c>
    </row>
    <row r="6545" spans="1:6" ht="15.75" thickBot="1" x14ac:dyDescent="0.3">
      <c r="A6545" s="42"/>
      <c r="B6545" s="42"/>
      <c r="C6545" s="42"/>
      <c r="D6545" s="42"/>
      <c r="E6545" s="42"/>
      <c r="F6545" s="42"/>
    </row>
    <row r="6546" spans="1:6" ht="23.25" thickBot="1" x14ac:dyDescent="0.3">
      <c r="A6546" s="4" t="s">
        <v>19</v>
      </c>
      <c r="B6546" s="4" t="s">
        <v>20</v>
      </c>
      <c r="C6546" s="4" t="s">
        <v>21</v>
      </c>
      <c r="D6546" s="4" t="s">
        <v>22</v>
      </c>
      <c r="E6546" s="4" t="s">
        <v>23</v>
      </c>
      <c r="F6546" s="4" t="s">
        <v>24</v>
      </c>
    </row>
    <row r="6547" spans="1:6" ht="15.75" thickBot="1" x14ac:dyDescent="0.3">
      <c r="A6547" s="32" t="s">
        <v>451</v>
      </c>
      <c r="B6547" s="32" t="s">
        <v>452</v>
      </c>
      <c r="C6547" s="32" t="s">
        <v>129</v>
      </c>
      <c r="D6547" s="6" t="s">
        <v>28</v>
      </c>
      <c r="E6547" s="6" t="s">
        <v>262</v>
      </c>
      <c r="F6547" s="6"/>
    </row>
    <row r="6548" spans="1:6" ht="15.75" thickBot="1" x14ac:dyDescent="0.3">
      <c r="A6548" s="35" t="s">
        <v>31</v>
      </c>
      <c r="B6548" s="7" t="s">
        <v>32</v>
      </c>
      <c r="C6548" s="15">
        <v>45566</v>
      </c>
      <c r="D6548" s="35" t="s">
        <v>33</v>
      </c>
      <c r="E6548" s="7" t="s">
        <v>34</v>
      </c>
      <c r="F6548" s="6"/>
    </row>
    <row r="6549" spans="1:6" ht="15.75" thickBot="1" x14ac:dyDescent="0.3">
      <c r="A6549" s="36"/>
      <c r="B6549" s="7" t="s">
        <v>36</v>
      </c>
      <c r="C6549" s="5">
        <f>IF(C6548="","",IF(AND(MONTH(C6548)&gt;=1,MONTH(C6548)&lt;=3),1,IF(AND(MONTH(C6548)&gt;=4,MONTH(C6548)&lt;=6),2,IF(AND(MONTH(C6548)&gt;=7,MONTH(C6548)&lt;=9),3,4))))</f>
        <v>4</v>
      </c>
      <c r="D6549" s="36"/>
      <c r="E6549" s="7" t="s">
        <v>37</v>
      </c>
      <c r="F6549" s="6"/>
    </row>
    <row r="6550" spans="1:6" ht="15.75" thickBot="1" x14ac:dyDescent="0.3">
      <c r="A6550" s="36"/>
      <c r="B6550" s="7" t="s">
        <v>39</v>
      </c>
      <c r="C6550" s="15">
        <v>45656</v>
      </c>
      <c r="D6550" s="36"/>
      <c r="E6550" s="7" t="s">
        <v>40</v>
      </c>
      <c r="F6550" s="6"/>
    </row>
    <row r="6551" spans="1:6" ht="15.75" thickBot="1" x14ac:dyDescent="0.3">
      <c r="A6551" s="36"/>
      <c r="B6551" s="7" t="s">
        <v>36</v>
      </c>
      <c r="C6551" s="5">
        <f>IF(C6550="","",IF(AND(MONTH(C6550)&gt;=1,MONTH(C6550)&lt;=3),1,IF(AND(MONTH(C6550)&gt;=4,MONTH(C6550)&lt;=6),2,IF(AND(MONTH(C6550)&gt;=7,MONTH(C6550)&lt;=9),3,4))))</f>
        <v>4</v>
      </c>
      <c r="D6551" s="36"/>
      <c r="E6551" s="7" t="s">
        <v>41</v>
      </c>
      <c r="F6551" s="6"/>
    </row>
    <row r="6552" spans="1:6" ht="15.75" thickBot="1" x14ac:dyDescent="0.3">
      <c r="A6552" s="40"/>
      <c r="B6552" s="40"/>
      <c r="C6552" s="40"/>
      <c r="D6552" s="40"/>
      <c r="E6552" s="40"/>
      <c r="F6552" s="40"/>
    </row>
    <row r="6553" spans="1:6" ht="15.75" thickBot="1" x14ac:dyDescent="0.3">
      <c r="A6553" s="12" t="s">
        <v>42</v>
      </c>
      <c r="B6553" s="12" t="s">
        <v>43</v>
      </c>
      <c r="C6553" s="12" t="s">
        <v>44</v>
      </c>
      <c r="D6553" s="12" t="s">
        <v>45</v>
      </c>
      <c r="E6553" s="12" t="s">
        <v>46</v>
      </c>
      <c r="F6553" s="12" t="s">
        <v>47</v>
      </c>
    </row>
    <row r="6554" spans="1:6" x14ac:dyDescent="0.25">
      <c r="A6554" s="41">
        <v>86101705</v>
      </c>
      <c r="B6554" s="9" t="str">
        <f ca="1">IFERROR(INDEX(UNSPSCDes,MATCH(INDIRECT(ADDRESS(ROW(),COLUMN()-1,4)),UNSPSCCode,0)),"")</f>
        <v>Capacitación administrativa</v>
      </c>
      <c r="C6554" s="33" t="s">
        <v>55</v>
      </c>
      <c r="D6554" s="8">
        <v>1</v>
      </c>
      <c r="E6554" s="11">
        <v>1500000</v>
      </c>
      <c r="F6554" s="10">
        <f ca="1">INDIRECT(ADDRESS(ROW(),COLUMN()-2,4))*INDIRECT(ADDRESS(ROW(),COLUMN()-1,4))</f>
        <v>1500000</v>
      </c>
    </row>
    <row r="6555" spans="1:6" x14ac:dyDescent="0.25">
      <c r="A6555" s="40"/>
      <c r="B6555" s="40"/>
      <c r="C6555" s="40"/>
      <c r="D6555" s="40"/>
      <c r="E6555" s="13" t="s">
        <v>87</v>
      </c>
      <c r="F6555" s="14">
        <f ca="1">SUM(Table3118288[MONTO TOTAL ESTIMADO])</f>
        <v>1500000</v>
      </c>
    </row>
    <row r="6556" spans="1:6" ht="15.75" thickBot="1" x14ac:dyDescent="0.3">
      <c r="A6556" s="42"/>
      <c r="B6556" s="42"/>
      <c r="C6556" s="42"/>
      <c r="D6556" s="42"/>
      <c r="E6556" s="42"/>
      <c r="F6556" s="42"/>
    </row>
    <row r="6557" spans="1:6" ht="23.25" thickBot="1" x14ac:dyDescent="0.3">
      <c r="A6557" s="4" t="s">
        <v>19</v>
      </c>
      <c r="B6557" s="4" t="s">
        <v>20</v>
      </c>
      <c r="C6557" s="4" t="s">
        <v>21</v>
      </c>
      <c r="D6557" s="4" t="s">
        <v>22</v>
      </c>
      <c r="E6557" s="4" t="s">
        <v>23</v>
      </c>
      <c r="F6557" s="4" t="s">
        <v>24</v>
      </c>
    </row>
    <row r="6558" spans="1:6" ht="15.75" thickBot="1" x14ac:dyDescent="0.3">
      <c r="A6558" s="32" t="s">
        <v>454</v>
      </c>
      <c r="B6558" s="32" t="s">
        <v>455</v>
      </c>
      <c r="C6558" s="32" t="s">
        <v>27</v>
      </c>
      <c r="D6558" s="6" t="s">
        <v>90</v>
      </c>
      <c r="E6558" s="6" t="s">
        <v>262</v>
      </c>
      <c r="F6558" s="6"/>
    </row>
    <row r="6559" spans="1:6" ht="15.75" thickBot="1" x14ac:dyDescent="0.3">
      <c r="A6559" s="35" t="s">
        <v>31</v>
      </c>
      <c r="B6559" s="7" t="s">
        <v>32</v>
      </c>
      <c r="C6559" s="15">
        <v>45566</v>
      </c>
      <c r="D6559" s="35" t="s">
        <v>33</v>
      </c>
      <c r="E6559" s="7" t="s">
        <v>34</v>
      </c>
      <c r="F6559" s="6"/>
    </row>
    <row r="6560" spans="1:6" ht="15.75" thickBot="1" x14ac:dyDescent="0.3">
      <c r="A6560" s="36"/>
      <c r="B6560" s="7" t="s">
        <v>36</v>
      </c>
      <c r="C6560" s="5">
        <f>IF(C6559="","",IF(AND(MONTH(C6559)&gt;=1,MONTH(C6559)&lt;=3),1,IF(AND(MONTH(C6559)&gt;=4,MONTH(C6559)&lt;=6),2,IF(AND(MONTH(C6559)&gt;=7,MONTH(C6559)&lt;=9),3,4))))</f>
        <v>4</v>
      </c>
      <c r="D6560" s="36"/>
      <c r="E6560" s="7" t="s">
        <v>37</v>
      </c>
      <c r="F6560" s="6"/>
    </row>
    <row r="6561" spans="1:6" ht="15.75" thickBot="1" x14ac:dyDescent="0.3">
      <c r="A6561" s="36"/>
      <c r="B6561" s="7" t="s">
        <v>39</v>
      </c>
      <c r="C6561" s="15">
        <v>45656</v>
      </c>
      <c r="D6561" s="36"/>
      <c r="E6561" s="7" t="s">
        <v>40</v>
      </c>
      <c r="F6561" s="6"/>
    </row>
    <row r="6562" spans="1:6" ht="15.75" thickBot="1" x14ac:dyDescent="0.3">
      <c r="A6562" s="36"/>
      <c r="B6562" s="7" t="s">
        <v>36</v>
      </c>
      <c r="C6562" s="5">
        <f>IF(C6561="","",IF(AND(MONTH(C6561)&gt;=1,MONTH(C6561)&lt;=3),1,IF(AND(MONTH(C6561)&gt;=4,MONTH(C6561)&lt;=6),2,IF(AND(MONTH(C6561)&gt;=7,MONTH(C6561)&lt;=9),3,4))))</f>
        <v>4</v>
      </c>
      <c r="D6562" s="36"/>
      <c r="E6562" s="7" t="s">
        <v>41</v>
      </c>
      <c r="F6562" s="6"/>
    </row>
    <row r="6563" spans="1:6" ht="15.75" thickBot="1" x14ac:dyDescent="0.3">
      <c r="A6563" s="40"/>
      <c r="B6563" s="40"/>
      <c r="C6563" s="40"/>
      <c r="D6563" s="40"/>
      <c r="E6563" s="40"/>
      <c r="F6563" s="40"/>
    </row>
    <row r="6564" spans="1:6" ht="15.75" thickBot="1" x14ac:dyDescent="0.3">
      <c r="A6564" s="12" t="s">
        <v>42</v>
      </c>
      <c r="B6564" s="12" t="s">
        <v>43</v>
      </c>
      <c r="C6564" s="12" t="s">
        <v>44</v>
      </c>
      <c r="D6564" s="12" t="s">
        <v>45</v>
      </c>
      <c r="E6564" s="12" t="s">
        <v>46</v>
      </c>
      <c r="F6564" s="12" t="s">
        <v>47</v>
      </c>
    </row>
    <row r="6565" spans="1:6" x14ac:dyDescent="0.25">
      <c r="A6565" s="8">
        <v>14111507</v>
      </c>
      <c r="B6565" s="9" t="str">
        <f ca="1">IFERROR(INDEX(UNSPSCDes,MATCH(INDIRECT(ADDRESS(ROW(),COLUMN()-1,4)),UNSPSCCode,0)),"")</f>
        <v>Papel para impresora o fotocopiadora</v>
      </c>
      <c r="C6565" s="8" t="s">
        <v>51</v>
      </c>
      <c r="D6565" s="8">
        <v>6000</v>
      </c>
      <c r="E6565" s="11">
        <v>354</v>
      </c>
      <c r="F6565" s="10">
        <f ca="1">INDIRECT(ADDRESS(ROW(),COLUMN()-2,4))*INDIRECT(ADDRESS(ROW(),COLUMN()-1,4))</f>
        <v>2124000</v>
      </c>
    </row>
    <row r="6566" spans="1:6" x14ac:dyDescent="0.25">
      <c r="A6566" s="40"/>
      <c r="B6566" s="40"/>
      <c r="C6566" s="40"/>
      <c r="D6566" s="40"/>
      <c r="E6566" s="13" t="s">
        <v>87</v>
      </c>
      <c r="F6566" s="14">
        <f ca="1">SUM(Table3119289[MONTO TOTAL ESTIMADO])</f>
        <v>2124000</v>
      </c>
    </row>
    <row r="6567" spans="1:6" ht="15.75" thickBot="1" x14ac:dyDescent="0.3">
      <c r="A6567" s="42"/>
      <c r="B6567" s="42"/>
      <c r="C6567" s="42"/>
      <c r="D6567" s="42"/>
      <c r="E6567" s="42"/>
      <c r="F6567" s="42"/>
    </row>
    <row r="6568" spans="1:6" ht="23.25" thickBot="1" x14ac:dyDescent="0.3">
      <c r="A6568" s="4" t="s">
        <v>19</v>
      </c>
      <c r="B6568" s="4" t="s">
        <v>20</v>
      </c>
      <c r="C6568" s="4" t="s">
        <v>21</v>
      </c>
      <c r="D6568" s="4" t="s">
        <v>22</v>
      </c>
      <c r="E6568" s="4" t="s">
        <v>23</v>
      </c>
      <c r="F6568" s="4" t="s">
        <v>24</v>
      </c>
    </row>
    <row r="6569" spans="1:6" ht="15.75" thickBot="1" x14ac:dyDescent="0.3">
      <c r="A6569" s="32" t="s">
        <v>456</v>
      </c>
      <c r="B6569" s="32" t="s">
        <v>457</v>
      </c>
      <c r="C6569" s="32" t="s">
        <v>27</v>
      </c>
      <c r="D6569" s="6" t="s">
        <v>28</v>
      </c>
      <c r="E6569" s="6" t="s">
        <v>262</v>
      </c>
      <c r="F6569" s="6"/>
    </row>
    <row r="6570" spans="1:6" ht="15.75" thickBot="1" x14ac:dyDescent="0.3">
      <c r="A6570" s="35" t="s">
        <v>31</v>
      </c>
      <c r="B6570" s="7" t="s">
        <v>32</v>
      </c>
      <c r="C6570" s="15">
        <v>45566</v>
      </c>
      <c r="D6570" s="35" t="s">
        <v>33</v>
      </c>
      <c r="E6570" s="7" t="s">
        <v>34</v>
      </c>
      <c r="F6570" s="6"/>
    </row>
    <row r="6571" spans="1:6" ht="15.75" thickBot="1" x14ac:dyDescent="0.3">
      <c r="A6571" s="36"/>
      <c r="B6571" s="7" t="s">
        <v>36</v>
      </c>
      <c r="C6571" s="5">
        <f>IF(C6570="","",IF(AND(MONTH(C6570)&gt;=1,MONTH(C6570)&lt;=3),1,IF(AND(MONTH(C6570)&gt;=4,MONTH(C6570)&lt;=6),2,IF(AND(MONTH(C6570)&gt;=7,MONTH(C6570)&lt;=9),3,4))))</f>
        <v>4</v>
      </c>
      <c r="D6571" s="36"/>
      <c r="E6571" s="7" t="s">
        <v>37</v>
      </c>
      <c r="F6571" s="6"/>
    </row>
    <row r="6572" spans="1:6" ht="15.75" thickBot="1" x14ac:dyDescent="0.3">
      <c r="A6572" s="36"/>
      <c r="B6572" s="7" t="s">
        <v>39</v>
      </c>
      <c r="C6572" s="15">
        <v>45656</v>
      </c>
      <c r="D6572" s="36"/>
      <c r="E6572" s="7" t="s">
        <v>40</v>
      </c>
      <c r="F6572" s="6"/>
    </row>
    <row r="6573" spans="1:6" ht="15.75" thickBot="1" x14ac:dyDescent="0.3">
      <c r="A6573" s="36"/>
      <c r="B6573" s="7" t="s">
        <v>36</v>
      </c>
      <c r="C6573" s="5">
        <f>IF(C6572="","",IF(AND(MONTH(C6572)&gt;=1,MONTH(C6572)&lt;=3),1,IF(AND(MONTH(C6572)&gt;=4,MONTH(C6572)&lt;=6),2,IF(AND(MONTH(C6572)&gt;=7,MONTH(C6572)&lt;=9),3,4))))</f>
        <v>4</v>
      </c>
      <c r="D6573" s="36"/>
      <c r="E6573" s="7" t="s">
        <v>41</v>
      </c>
      <c r="F6573" s="6"/>
    </row>
    <row r="6574" spans="1:6" ht="15.75" thickBot="1" x14ac:dyDescent="0.3">
      <c r="A6574" s="40"/>
      <c r="B6574" s="40"/>
      <c r="C6574" s="40"/>
      <c r="D6574" s="40"/>
      <c r="E6574" s="40"/>
      <c r="F6574" s="40"/>
    </row>
    <row r="6575" spans="1:6" ht="15.75" thickBot="1" x14ac:dyDescent="0.3">
      <c r="A6575" s="12" t="s">
        <v>42</v>
      </c>
      <c r="B6575" s="12" t="s">
        <v>43</v>
      </c>
      <c r="C6575" s="12" t="s">
        <v>44</v>
      </c>
      <c r="D6575" s="12" t="s">
        <v>45</v>
      </c>
      <c r="E6575" s="12" t="s">
        <v>46</v>
      </c>
      <c r="F6575" s="12" t="s">
        <v>47</v>
      </c>
    </row>
    <row r="6576" spans="1:6" x14ac:dyDescent="0.25">
      <c r="A6576" s="8">
        <v>31211903</v>
      </c>
      <c r="B6576" s="9" t="str">
        <f ca="1">IFERROR(INDEX(UNSPSCDes,MATCH(INDIRECT(ADDRESS(ROW(),COLUMN()-1,4)),UNSPSCCode,0)),"")</f>
        <v>Equipo para protección</v>
      </c>
      <c r="C6576" s="33" t="s">
        <v>55</v>
      </c>
      <c r="D6576" s="8">
        <v>1000</v>
      </c>
      <c r="E6576" s="11">
        <v>1700</v>
      </c>
      <c r="F6576" s="10">
        <f ca="1">INDIRECT(ADDRESS(ROW(),COLUMN()-2,4))*INDIRECT(ADDRESS(ROW(),COLUMN()-1,4))</f>
        <v>1700000</v>
      </c>
    </row>
    <row r="6577" spans="1:6" x14ac:dyDescent="0.25">
      <c r="A6577" s="40"/>
      <c r="B6577" s="40"/>
      <c r="C6577" s="40"/>
      <c r="D6577" s="40"/>
      <c r="E6577" s="13" t="s">
        <v>87</v>
      </c>
      <c r="F6577" s="14">
        <f ca="1">SUM(Table3120290[MONTO TOTAL ESTIMADO])</f>
        <v>1700000</v>
      </c>
    </row>
    <row r="6578" spans="1:6" ht="15.75" thickBot="1" x14ac:dyDescent="0.3">
      <c r="A6578" s="42"/>
      <c r="B6578" s="42"/>
      <c r="C6578" s="42"/>
      <c r="D6578" s="42"/>
      <c r="E6578" s="42"/>
      <c r="F6578" s="42"/>
    </row>
    <row r="6579" spans="1:6" ht="23.25" thickBot="1" x14ac:dyDescent="0.3">
      <c r="A6579" s="4" t="s">
        <v>19</v>
      </c>
      <c r="B6579" s="4" t="s">
        <v>20</v>
      </c>
      <c r="C6579" s="4" t="s">
        <v>21</v>
      </c>
      <c r="D6579" s="4" t="s">
        <v>22</v>
      </c>
      <c r="E6579" s="4" t="s">
        <v>23</v>
      </c>
      <c r="F6579" s="4" t="s">
        <v>24</v>
      </c>
    </row>
    <row r="6580" spans="1:6" ht="15.75" thickBot="1" x14ac:dyDescent="0.3">
      <c r="A6580" s="32" t="s">
        <v>459</v>
      </c>
      <c r="B6580" s="32" t="s">
        <v>460</v>
      </c>
      <c r="C6580" s="32" t="s">
        <v>27</v>
      </c>
      <c r="D6580" s="6" t="s">
        <v>28</v>
      </c>
      <c r="E6580" s="6" t="s">
        <v>262</v>
      </c>
      <c r="F6580" s="6"/>
    </row>
    <row r="6581" spans="1:6" ht="15.75" thickBot="1" x14ac:dyDescent="0.3">
      <c r="A6581" s="35" t="s">
        <v>31</v>
      </c>
      <c r="B6581" s="7" t="s">
        <v>32</v>
      </c>
      <c r="C6581" s="15">
        <v>45566</v>
      </c>
      <c r="D6581" s="35" t="s">
        <v>33</v>
      </c>
      <c r="E6581" s="7" t="s">
        <v>34</v>
      </c>
      <c r="F6581" s="6"/>
    </row>
    <row r="6582" spans="1:6" ht="15.75" thickBot="1" x14ac:dyDescent="0.3">
      <c r="A6582" s="36"/>
      <c r="B6582" s="7" t="s">
        <v>36</v>
      </c>
      <c r="C6582" s="5">
        <f>IF(C6581="","",IF(AND(MONTH(C6581)&gt;=1,MONTH(C6581)&lt;=3),1,IF(AND(MONTH(C6581)&gt;=4,MONTH(C6581)&lt;=6),2,IF(AND(MONTH(C6581)&gt;=7,MONTH(C6581)&lt;=9),3,4))))</f>
        <v>4</v>
      </c>
      <c r="D6582" s="36"/>
      <c r="E6582" s="7" t="s">
        <v>37</v>
      </c>
      <c r="F6582" s="6"/>
    </row>
    <row r="6583" spans="1:6" ht="15.75" thickBot="1" x14ac:dyDescent="0.3">
      <c r="A6583" s="36"/>
      <c r="B6583" s="7" t="s">
        <v>39</v>
      </c>
      <c r="C6583" s="15">
        <v>45656</v>
      </c>
      <c r="D6583" s="36"/>
      <c r="E6583" s="7" t="s">
        <v>40</v>
      </c>
      <c r="F6583" s="6"/>
    </row>
    <row r="6584" spans="1:6" ht="15.75" thickBot="1" x14ac:dyDescent="0.3">
      <c r="A6584" s="36"/>
      <c r="B6584" s="7" t="s">
        <v>36</v>
      </c>
      <c r="C6584" s="5">
        <f>IF(C6583="","",IF(AND(MONTH(C6583)&gt;=1,MONTH(C6583)&lt;=3),1,IF(AND(MONTH(C6583)&gt;=4,MONTH(C6583)&lt;=6),2,IF(AND(MONTH(C6583)&gt;=7,MONTH(C6583)&lt;=9),3,4))))</f>
        <v>4</v>
      </c>
      <c r="D6584" s="36"/>
      <c r="E6584" s="7" t="s">
        <v>41</v>
      </c>
      <c r="F6584" s="6"/>
    </row>
    <row r="6585" spans="1:6" ht="15.75" thickBot="1" x14ac:dyDescent="0.3">
      <c r="A6585" s="40"/>
      <c r="B6585" s="40"/>
      <c r="C6585" s="40"/>
      <c r="D6585" s="40"/>
      <c r="E6585" s="40"/>
      <c r="F6585" s="40"/>
    </row>
    <row r="6586" spans="1:6" ht="15.75" thickBot="1" x14ac:dyDescent="0.3">
      <c r="A6586" s="12" t="s">
        <v>42</v>
      </c>
      <c r="B6586" s="12" t="s">
        <v>43</v>
      </c>
      <c r="C6586" s="12" t="s">
        <v>44</v>
      </c>
      <c r="D6586" s="12" t="s">
        <v>45</v>
      </c>
      <c r="E6586" s="12" t="s">
        <v>46</v>
      </c>
      <c r="F6586" s="12" t="s">
        <v>47</v>
      </c>
    </row>
    <row r="6587" spans="1:6" x14ac:dyDescent="0.25">
      <c r="A6587" s="8">
        <v>45121510</v>
      </c>
      <c r="B6587" s="9" t="str">
        <f ca="1">IFERROR(INDEX(UNSPSCDes,MATCH(INDIRECT(ADDRESS(ROW(),COLUMN()-1,4)),UNSPSCCode,0)),"")</f>
        <v>Cámaras aéreas</v>
      </c>
      <c r="C6587" s="33" t="s">
        <v>55</v>
      </c>
      <c r="D6587" s="8">
        <v>2</v>
      </c>
      <c r="E6587" s="11">
        <v>750000</v>
      </c>
      <c r="F6587" s="10">
        <f ca="1">INDIRECT(ADDRESS(ROW(),COLUMN()-2,4))*INDIRECT(ADDRESS(ROW(),COLUMN()-1,4))</f>
        <v>1500000</v>
      </c>
    </row>
    <row r="6588" spans="1:6" x14ac:dyDescent="0.25">
      <c r="A6588" s="40"/>
      <c r="B6588" s="40"/>
      <c r="C6588" s="40"/>
      <c r="D6588" s="40"/>
      <c r="E6588" s="13" t="s">
        <v>87</v>
      </c>
      <c r="F6588" s="14">
        <f ca="1">SUM(Table3121291[MONTO TOTAL ESTIMADO])</f>
        <v>1500000</v>
      </c>
    </row>
    <row r="6589" spans="1:6" ht="15.75" thickBot="1" x14ac:dyDescent="0.3">
      <c r="A6589" s="42"/>
      <c r="B6589" s="42"/>
      <c r="C6589" s="42"/>
      <c r="D6589" s="42"/>
      <c r="E6589" s="42"/>
      <c r="F6589" s="42"/>
    </row>
    <row r="6590" spans="1:6" ht="23.25" thickBot="1" x14ac:dyDescent="0.3">
      <c r="A6590" s="4" t="s">
        <v>19</v>
      </c>
      <c r="B6590" s="4" t="s">
        <v>20</v>
      </c>
      <c r="C6590" s="4" t="s">
        <v>21</v>
      </c>
      <c r="D6590" s="4" t="s">
        <v>22</v>
      </c>
      <c r="E6590" s="4" t="s">
        <v>23</v>
      </c>
      <c r="F6590" s="4" t="s">
        <v>24</v>
      </c>
    </row>
    <row r="6591" spans="1:6" ht="15.75" thickBot="1" x14ac:dyDescent="0.3">
      <c r="A6591" s="32" t="s">
        <v>462</v>
      </c>
      <c r="B6591" s="32" t="s">
        <v>463</v>
      </c>
      <c r="C6591" s="32" t="s">
        <v>27</v>
      </c>
      <c r="D6591" s="6" t="s">
        <v>28</v>
      </c>
      <c r="E6591" s="6" t="s">
        <v>262</v>
      </c>
      <c r="F6591" s="6"/>
    </row>
    <row r="6592" spans="1:6" ht="15.75" thickBot="1" x14ac:dyDescent="0.3">
      <c r="A6592" s="35" t="s">
        <v>31</v>
      </c>
      <c r="B6592" s="7" t="s">
        <v>32</v>
      </c>
      <c r="C6592" s="15">
        <v>45566</v>
      </c>
      <c r="D6592" s="35" t="s">
        <v>33</v>
      </c>
      <c r="E6592" s="7" t="s">
        <v>34</v>
      </c>
      <c r="F6592" s="6"/>
    </row>
    <row r="6593" spans="1:6" ht="15.75" thickBot="1" x14ac:dyDescent="0.3">
      <c r="A6593" s="36"/>
      <c r="B6593" s="7" t="s">
        <v>36</v>
      </c>
      <c r="C6593" s="5">
        <f>IF(C6592="","",IF(AND(MONTH(C6592)&gt;=1,MONTH(C6592)&lt;=3),1,IF(AND(MONTH(C6592)&gt;=4,MONTH(C6592)&lt;=6),2,IF(AND(MONTH(C6592)&gt;=7,MONTH(C6592)&lt;=9),3,4))))</f>
        <v>4</v>
      </c>
      <c r="D6593" s="36"/>
      <c r="E6593" s="7" t="s">
        <v>37</v>
      </c>
      <c r="F6593" s="6"/>
    </row>
    <row r="6594" spans="1:6" ht="15.75" thickBot="1" x14ac:dyDescent="0.3">
      <c r="A6594" s="36"/>
      <c r="B6594" s="7" t="s">
        <v>39</v>
      </c>
      <c r="C6594" s="15">
        <v>45656</v>
      </c>
      <c r="D6594" s="36"/>
      <c r="E6594" s="7" t="s">
        <v>40</v>
      </c>
      <c r="F6594" s="6"/>
    </row>
    <row r="6595" spans="1:6" ht="15.75" thickBot="1" x14ac:dyDescent="0.3">
      <c r="A6595" s="36"/>
      <c r="B6595" s="7" t="s">
        <v>36</v>
      </c>
      <c r="C6595" s="5">
        <f>IF(C6594="","",IF(AND(MONTH(C6594)&gt;=1,MONTH(C6594)&lt;=3),1,IF(AND(MONTH(C6594)&gt;=4,MONTH(C6594)&lt;=6),2,IF(AND(MONTH(C6594)&gt;=7,MONTH(C6594)&lt;=9),3,4))))</f>
        <v>4</v>
      </c>
      <c r="D6595" s="36"/>
      <c r="E6595" s="7" t="s">
        <v>41</v>
      </c>
      <c r="F6595" s="6"/>
    </row>
    <row r="6596" spans="1:6" ht="15.75" thickBot="1" x14ac:dyDescent="0.3">
      <c r="A6596" s="40"/>
      <c r="B6596" s="40"/>
      <c r="C6596" s="40"/>
      <c r="D6596" s="40"/>
      <c r="E6596" s="40"/>
      <c r="F6596" s="40"/>
    </row>
    <row r="6597" spans="1:6" ht="15.75" thickBot="1" x14ac:dyDescent="0.3">
      <c r="A6597" s="12" t="s">
        <v>42</v>
      </c>
      <c r="B6597" s="12" t="s">
        <v>43</v>
      </c>
      <c r="C6597" s="12" t="s">
        <v>44</v>
      </c>
      <c r="D6597" s="12" t="s">
        <v>45</v>
      </c>
      <c r="E6597" s="12" t="s">
        <v>46</v>
      </c>
      <c r="F6597" s="12" t="s">
        <v>47</v>
      </c>
    </row>
    <row r="6598" spans="1:6" x14ac:dyDescent="0.25">
      <c r="A6598" s="8">
        <v>50161509</v>
      </c>
      <c r="B6598" s="9" t="str">
        <f t="shared" ref="B6598:B6611" ca="1" si="137">IFERROR(INDEX(UNSPSCDes,MATCH(INDIRECT(ADDRESS(ROW(),COLUMN()-1,4)),UNSPSCCode,0)),"")</f>
        <v>Azucares naturales o productos endulzantes</v>
      </c>
      <c r="C6598" s="8" t="s">
        <v>74</v>
      </c>
      <c r="D6598" s="8">
        <v>500</v>
      </c>
      <c r="E6598" s="11">
        <v>83.78</v>
      </c>
      <c r="F6598" s="10">
        <f t="shared" ref="F6598:F6611" ca="1" si="138">INDIRECT(ADDRESS(ROW(),COLUMN()-2,4))*INDIRECT(ADDRESS(ROW(),COLUMN()-1,4))</f>
        <v>41890</v>
      </c>
    </row>
    <row r="6599" spans="1:6" x14ac:dyDescent="0.25">
      <c r="A6599" s="8">
        <v>50221101</v>
      </c>
      <c r="B6599" s="9" t="str">
        <f t="shared" ca="1" si="137"/>
        <v>Grano de cereal</v>
      </c>
      <c r="C6599" s="33" t="s">
        <v>74</v>
      </c>
      <c r="D6599" s="8">
        <v>500</v>
      </c>
      <c r="E6599" s="11">
        <v>231.38</v>
      </c>
      <c r="F6599" s="10">
        <f t="shared" ca="1" si="138"/>
        <v>115690</v>
      </c>
    </row>
    <row r="6600" spans="1:6" x14ac:dyDescent="0.25">
      <c r="A6600" s="8">
        <v>50151513</v>
      </c>
      <c r="B6600" s="9" t="str">
        <f t="shared" ca="1" si="137"/>
        <v>Aceites vegetales o  de planta comestibles</v>
      </c>
      <c r="C6600" s="8" t="s">
        <v>55</v>
      </c>
      <c r="D6600" s="8">
        <v>500</v>
      </c>
      <c r="E6600" s="11">
        <v>132.16</v>
      </c>
      <c r="F6600" s="10">
        <f t="shared" ca="1" si="138"/>
        <v>66080</v>
      </c>
    </row>
    <row r="6601" spans="1:6" x14ac:dyDescent="0.25">
      <c r="A6601" s="8">
        <v>50192111</v>
      </c>
      <c r="B6601" s="9" t="str">
        <f t="shared" ca="1" si="137"/>
        <v>Carne seca o procesada</v>
      </c>
      <c r="C6601" s="33" t="s">
        <v>55</v>
      </c>
      <c r="D6601" s="8">
        <v>500</v>
      </c>
      <c r="E6601" s="11">
        <v>619.5</v>
      </c>
      <c r="F6601" s="10">
        <f t="shared" ca="1" si="138"/>
        <v>309750</v>
      </c>
    </row>
    <row r="6602" spans="1:6" x14ac:dyDescent="0.25">
      <c r="A6602" s="8">
        <v>50201706</v>
      </c>
      <c r="B6602" s="9" t="str">
        <f t="shared" ca="1" si="137"/>
        <v>Café</v>
      </c>
      <c r="C6602" s="33" t="s">
        <v>74</v>
      </c>
      <c r="D6602" s="8">
        <v>500</v>
      </c>
      <c r="E6602" s="11">
        <v>188.8</v>
      </c>
      <c r="F6602" s="10">
        <f t="shared" ca="1" si="138"/>
        <v>94400</v>
      </c>
    </row>
    <row r="6603" spans="1:6" x14ac:dyDescent="0.25">
      <c r="A6603" s="8">
        <v>50171831</v>
      </c>
      <c r="B6603" s="9" t="str">
        <f t="shared" ca="1" si="137"/>
        <v>Salsas para cocinar</v>
      </c>
      <c r="C6603" s="33" t="s">
        <v>55</v>
      </c>
      <c r="D6603" s="8">
        <v>500</v>
      </c>
      <c r="E6603" s="11">
        <v>105.2</v>
      </c>
      <c r="F6603" s="10">
        <f t="shared" ca="1" si="138"/>
        <v>52600</v>
      </c>
    </row>
    <row r="6604" spans="1:6" x14ac:dyDescent="0.25">
      <c r="A6604" s="8">
        <v>50121538</v>
      </c>
      <c r="B6604" s="9" t="str">
        <f t="shared" ca="1" si="137"/>
        <v>Pescado almacenado en repisa</v>
      </c>
      <c r="C6604" s="33" t="s">
        <v>55</v>
      </c>
      <c r="D6604" s="8">
        <v>500</v>
      </c>
      <c r="E6604" s="11">
        <v>142.78</v>
      </c>
      <c r="F6604" s="10">
        <f t="shared" ca="1" si="138"/>
        <v>71390</v>
      </c>
    </row>
    <row r="6605" spans="1:6" x14ac:dyDescent="0.25">
      <c r="A6605" s="8">
        <v>50192902</v>
      </c>
      <c r="B6605" s="9" t="str">
        <f t="shared" ca="1" si="137"/>
        <v>Pasta o fideos de repisa</v>
      </c>
      <c r="C6605" s="33" t="s">
        <v>55</v>
      </c>
      <c r="D6605" s="8">
        <v>500</v>
      </c>
      <c r="E6605" s="11">
        <v>48.38</v>
      </c>
      <c r="F6605" s="10">
        <f t="shared" ca="1" si="138"/>
        <v>24190</v>
      </c>
    </row>
    <row r="6606" spans="1:6" x14ac:dyDescent="0.25">
      <c r="A6606" s="8">
        <v>50101543</v>
      </c>
      <c r="B6606" s="9" t="str">
        <f t="shared" ca="1" si="137"/>
        <v>Judías secas</v>
      </c>
      <c r="C6606" s="33" t="s">
        <v>55</v>
      </c>
      <c r="D6606" s="8">
        <v>500</v>
      </c>
      <c r="E6606" s="11">
        <v>178.18</v>
      </c>
      <c r="F6606" s="10">
        <f t="shared" ca="1" si="138"/>
        <v>89090</v>
      </c>
    </row>
    <row r="6607" spans="1:6" x14ac:dyDescent="0.25">
      <c r="A6607" s="8">
        <v>50131701</v>
      </c>
      <c r="B6607" s="9" t="str">
        <f t="shared" ca="1" si="137"/>
        <v>Productos de leche o mantequilla frescos</v>
      </c>
      <c r="C6607" s="33" t="s">
        <v>55</v>
      </c>
      <c r="D6607" s="8">
        <v>500</v>
      </c>
      <c r="E6607" s="11">
        <v>384.68</v>
      </c>
      <c r="F6607" s="10">
        <f t="shared" ca="1" si="138"/>
        <v>192340</v>
      </c>
    </row>
    <row r="6608" spans="1:6" x14ac:dyDescent="0.25">
      <c r="A6608" s="8">
        <v>50121538</v>
      </c>
      <c r="B6608" s="9" t="str">
        <f t="shared" ca="1" si="137"/>
        <v>Pescado almacenado en repisa</v>
      </c>
      <c r="C6608" s="33" t="s">
        <v>55</v>
      </c>
      <c r="D6608" s="8">
        <v>500</v>
      </c>
      <c r="E6608" s="11">
        <v>148.68</v>
      </c>
      <c r="F6608" s="10">
        <f t="shared" ca="1" si="138"/>
        <v>74340</v>
      </c>
    </row>
    <row r="6609" spans="1:6" x14ac:dyDescent="0.25">
      <c r="A6609" s="8">
        <v>50101542</v>
      </c>
      <c r="B6609" s="9" t="str">
        <f t="shared" ca="1" si="137"/>
        <v>Harina vegetal</v>
      </c>
      <c r="C6609" s="33" t="s">
        <v>55</v>
      </c>
      <c r="D6609" s="8">
        <v>500</v>
      </c>
      <c r="E6609" s="11">
        <v>34.22</v>
      </c>
      <c r="F6609" s="10">
        <f t="shared" ca="1" si="138"/>
        <v>17110</v>
      </c>
    </row>
    <row r="6610" spans="1:6" x14ac:dyDescent="0.25">
      <c r="A6610" s="8">
        <v>50161511</v>
      </c>
      <c r="B6610" s="9" t="str">
        <f t="shared" ca="1" si="137"/>
        <v>Chocolate o sustituto de chocolate</v>
      </c>
      <c r="C6610" s="33" t="s">
        <v>55</v>
      </c>
      <c r="D6610" s="8">
        <v>500</v>
      </c>
      <c r="E6610" s="11">
        <v>112.1</v>
      </c>
      <c r="F6610" s="10">
        <f t="shared" ca="1" si="138"/>
        <v>56050</v>
      </c>
    </row>
    <row r="6611" spans="1:6" x14ac:dyDescent="0.25">
      <c r="A6611" s="8">
        <v>50221101</v>
      </c>
      <c r="B6611" s="9" t="str">
        <f t="shared" ca="1" si="137"/>
        <v>Grano de cereal</v>
      </c>
      <c r="C6611" s="33" t="s">
        <v>55</v>
      </c>
      <c r="D6611" s="8">
        <v>500</v>
      </c>
      <c r="E6611" s="11">
        <v>113.28</v>
      </c>
      <c r="F6611" s="10">
        <f t="shared" ca="1" si="138"/>
        <v>56640</v>
      </c>
    </row>
    <row r="6612" spans="1:6" x14ac:dyDescent="0.25">
      <c r="A6612" s="40"/>
      <c r="B6612" s="40"/>
      <c r="C6612" s="40"/>
      <c r="D6612" s="40"/>
      <c r="E6612" s="13" t="s">
        <v>87</v>
      </c>
      <c r="F6612" s="14">
        <f ca="1">SUM(Table3122292[MONTO TOTAL ESTIMADO])</f>
        <v>1261560</v>
      </c>
    </row>
    <row r="6613" spans="1:6" ht="15.75" thickBot="1" x14ac:dyDescent="0.3">
      <c r="A6613" s="42"/>
      <c r="B6613" s="42"/>
      <c r="C6613" s="42"/>
      <c r="D6613" s="42"/>
      <c r="E6613" s="42"/>
      <c r="F6613" s="42"/>
    </row>
    <row r="6614" spans="1:6" ht="23.25" thickBot="1" x14ac:dyDescent="0.3">
      <c r="A6614" s="4" t="s">
        <v>19</v>
      </c>
      <c r="B6614" s="4" t="s">
        <v>20</v>
      </c>
      <c r="C6614" s="4" t="s">
        <v>21</v>
      </c>
      <c r="D6614" s="4" t="s">
        <v>22</v>
      </c>
      <c r="E6614" s="4" t="s">
        <v>23</v>
      </c>
      <c r="F6614" s="4" t="s">
        <v>24</v>
      </c>
    </row>
    <row r="6615" spans="1:6" ht="15.75" thickBot="1" x14ac:dyDescent="0.3">
      <c r="A6615" s="32" t="s">
        <v>472</v>
      </c>
      <c r="B6615" s="32" t="s">
        <v>473</v>
      </c>
      <c r="C6615" s="32" t="s">
        <v>27</v>
      </c>
      <c r="D6615" s="6" t="s">
        <v>28</v>
      </c>
      <c r="E6615" s="6" t="s">
        <v>262</v>
      </c>
      <c r="F6615" s="6"/>
    </row>
    <row r="6616" spans="1:6" ht="15.75" thickBot="1" x14ac:dyDescent="0.3">
      <c r="A6616" s="35" t="s">
        <v>31</v>
      </c>
      <c r="B6616" s="7" t="s">
        <v>32</v>
      </c>
      <c r="C6616" s="15">
        <v>45566</v>
      </c>
      <c r="D6616" s="35" t="s">
        <v>33</v>
      </c>
      <c r="E6616" s="7" t="s">
        <v>34</v>
      </c>
      <c r="F6616" s="6"/>
    </row>
    <row r="6617" spans="1:6" ht="15.75" thickBot="1" x14ac:dyDescent="0.3">
      <c r="A6617" s="36"/>
      <c r="B6617" s="7" t="s">
        <v>36</v>
      </c>
      <c r="C6617" s="5">
        <f>IF(C6616="","",IF(AND(MONTH(C6616)&gt;=1,MONTH(C6616)&lt;=3),1,IF(AND(MONTH(C6616)&gt;=4,MONTH(C6616)&lt;=6),2,IF(AND(MONTH(C6616)&gt;=7,MONTH(C6616)&lt;=9),3,4))))</f>
        <v>4</v>
      </c>
      <c r="D6617" s="36"/>
      <c r="E6617" s="7" t="s">
        <v>37</v>
      </c>
      <c r="F6617" s="6"/>
    </row>
    <row r="6618" spans="1:6" ht="15.75" thickBot="1" x14ac:dyDescent="0.3">
      <c r="A6618" s="36"/>
      <c r="B6618" s="7" t="s">
        <v>39</v>
      </c>
      <c r="C6618" s="15">
        <v>45656</v>
      </c>
      <c r="D6618" s="36"/>
      <c r="E6618" s="7" t="s">
        <v>40</v>
      </c>
      <c r="F6618" s="6"/>
    </row>
    <row r="6619" spans="1:6" ht="15.75" thickBot="1" x14ac:dyDescent="0.3">
      <c r="A6619" s="36"/>
      <c r="B6619" s="7" t="s">
        <v>36</v>
      </c>
      <c r="C6619" s="5">
        <f>IF(C6618="","",IF(AND(MONTH(C6618)&gt;=1,MONTH(C6618)&lt;=3),1,IF(AND(MONTH(C6618)&gt;=4,MONTH(C6618)&lt;=6),2,IF(AND(MONTH(C6618)&gt;=7,MONTH(C6618)&lt;=9),3,4))))</f>
        <v>4</v>
      </c>
      <c r="D6619" s="36"/>
      <c r="E6619" s="7" t="s">
        <v>41</v>
      </c>
      <c r="F6619" s="6"/>
    </row>
    <row r="6620" spans="1:6" ht="15.75" thickBot="1" x14ac:dyDescent="0.3">
      <c r="A6620" s="40"/>
      <c r="B6620" s="40"/>
      <c r="C6620" s="40"/>
      <c r="D6620" s="40"/>
      <c r="E6620" s="40"/>
      <c r="F6620" s="40"/>
    </row>
    <row r="6621" spans="1:6" ht="15.75" thickBot="1" x14ac:dyDescent="0.3">
      <c r="A6621" s="12" t="s">
        <v>42</v>
      </c>
      <c r="B6621" s="12" t="s">
        <v>43</v>
      </c>
      <c r="C6621" s="12" t="s">
        <v>44</v>
      </c>
      <c r="D6621" s="12" t="s">
        <v>45</v>
      </c>
      <c r="E6621" s="12" t="s">
        <v>46</v>
      </c>
      <c r="F6621" s="12" t="s">
        <v>47</v>
      </c>
    </row>
    <row r="6622" spans="1:6" x14ac:dyDescent="0.25">
      <c r="A6622" s="8">
        <v>45121504</v>
      </c>
      <c r="B6622" s="9" t="str">
        <f ca="1">IFERROR(INDEX(UNSPSCDes,MATCH(INDIRECT(ADDRESS(ROW(),COLUMN()-1,4)),UNSPSCCode,0)),"")</f>
        <v>Cámaras digitales</v>
      </c>
      <c r="C6622" s="33" t="s">
        <v>55</v>
      </c>
      <c r="D6622" s="8">
        <v>2</v>
      </c>
      <c r="E6622" s="11">
        <v>400050.44</v>
      </c>
      <c r="F6622" s="10">
        <f ca="1">INDIRECT(ADDRESS(ROW(),COLUMN()-2,4))*INDIRECT(ADDRESS(ROW(),COLUMN()-1,4))</f>
        <v>800100.88</v>
      </c>
    </row>
    <row r="6623" spans="1:6" x14ac:dyDescent="0.25">
      <c r="A6623" s="8">
        <v>46171610</v>
      </c>
      <c r="B6623" s="9" t="str">
        <f ca="1">IFERROR(INDEX(UNSPSCDes,MATCH(INDIRECT(ADDRESS(ROW(),COLUMN()-1,4)),UNSPSCCode,0)),"")</f>
        <v>Cámaras de seguridad</v>
      </c>
      <c r="C6623" s="33" t="s">
        <v>55</v>
      </c>
      <c r="D6623" s="8">
        <v>5</v>
      </c>
      <c r="E6623" s="11">
        <v>35000</v>
      </c>
      <c r="F6623" s="10">
        <f ca="1">INDIRECT(ADDRESS(ROW(),COLUMN()-2,4))*INDIRECT(ADDRESS(ROW(),COLUMN()-1,4))</f>
        <v>175000</v>
      </c>
    </row>
    <row r="6624" spans="1:6" x14ac:dyDescent="0.25">
      <c r="A6624" s="8">
        <v>45121516</v>
      </c>
      <c r="B6624" s="9" t="str">
        <f ca="1">IFERROR(INDEX(UNSPSCDes,MATCH(INDIRECT(ADDRESS(ROW(),COLUMN()-1,4)),UNSPSCCode,0)),"")</f>
        <v>Cámaras grabadoras o video cámaras digitales</v>
      </c>
      <c r="C6624" s="33" t="s">
        <v>55</v>
      </c>
      <c r="D6624" s="8">
        <v>20</v>
      </c>
      <c r="E6624" s="11">
        <v>22000</v>
      </c>
      <c r="F6624" s="10">
        <f ca="1">INDIRECT(ADDRESS(ROW(),COLUMN()-2,4))*INDIRECT(ADDRESS(ROW(),COLUMN()-1,4))</f>
        <v>440000</v>
      </c>
    </row>
    <row r="6625" spans="1:6" x14ac:dyDescent="0.25">
      <c r="A6625" s="8">
        <v>45121516</v>
      </c>
      <c r="B6625" s="9" t="str">
        <f ca="1">IFERROR(INDEX(UNSPSCDes,MATCH(INDIRECT(ADDRESS(ROW(),COLUMN()-1,4)),UNSPSCCode,0)),"")</f>
        <v>Cámaras grabadoras o video cámaras digitales</v>
      </c>
      <c r="C6625" s="33" t="s">
        <v>55</v>
      </c>
      <c r="D6625" s="8">
        <v>20</v>
      </c>
      <c r="E6625" s="11">
        <v>15000</v>
      </c>
      <c r="F6625" s="10">
        <f ca="1">INDIRECT(ADDRESS(ROW(),COLUMN()-2,4))*INDIRECT(ADDRESS(ROW(),COLUMN()-1,4))</f>
        <v>300000</v>
      </c>
    </row>
    <row r="6626" spans="1:6" x14ac:dyDescent="0.25">
      <c r="A6626" s="40"/>
      <c r="B6626" s="40"/>
      <c r="C6626" s="40"/>
      <c r="D6626" s="40"/>
      <c r="E6626" s="13" t="s">
        <v>87</v>
      </c>
      <c r="F6626" s="14">
        <f ca="1">SUM(Table3125293[MONTO TOTAL ESTIMADO])</f>
        <v>1715100.88</v>
      </c>
    </row>
    <row r="6627" spans="1:6" ht="15.75" thickBot="1" x14ac:dyDescent="0.3">
      <c r="A6627" s="42"/>
      <c r="B6627" s="42"/>
      <c r="C6627" s="42"/>
      <c r="D6627" s="42"/>
      <c r="E6627" s="42"/>
      <c r="F6627" s="42"/>
    </row>
    <row r="6628" spans="1:6" ht="23.25" thickBot="1" x14ac:dyDescent="0.3">
      <c r="A6628" s="4" t="s">
        <v>19</v>
      </c>
      <c r="B6628" s="4" t="s">
        <v>20</v>
      </c>
      <c r="C6628" s="4" t="s">
        <v>21</v>
      </c>
      <c r="D6628" s="4" t="s">
        <v>22</v>
      </c>
      <c r="E6628" s="4" t="s">
        <v>23</v>
      </c>
      <c r="F6628" s="4" t="s">
        <v>24</v>
      </c>
    </row>
    <row r="6629" spans="1:6" ht="15.75" thickBot="1" x14ac:dyDescent="0.3">
      <c r="A6629" s="32" t="s">
        <v>462</v>
      </c>
      <c r="B6629" s="32" t="s">
        <v>463</v>
      </c>
      <c r="C6629" s="6" t="s">
        <v>27</v>
      </c>
      <c r="D6629" s="6" t="s">
        <v>28</v>
      </c>
      <c r="E6629" s="6" t="s">
        <v>262</v>
      </c>
      <c r="F6629" s="6"/>
    </row>
    <row r="6630" spans="1:6" ht="15.75" thickBot="1" x14ac:dyDescent="0.3">
      <c r="A6630" s="35" t="s">
        <v>31</v>
      </c>
      <c r="B6630" s="7" t="s">
        <v>32</v>
      </c>
      <c r="C6630" s="15">
        <v>45566</v>
      </c>
      <c r="D6630" s="35" t="s">
        <v>33</v>
      </c>
      <c r="E6630" s="7" t="s">
        <v>34</v>
      </c>
      <c r="F6630" s="6"/>
    </row>
    <row r="6631" spans="1:6" ht="15.75" thickBot="1" x14ac:dyDescent="0.3">
      <c r="A6631" s="36"/>
      <c r="B6631" s="7" t="s">
        <v>36</v>
      </c>
      <c r="C6631" s="5">
        <f>IF(C6630="","",IF(AND(MONTH(C6630)&gt;=1,MONTH(C6630)&lt;=3),1,IF(AND(MONTH(C6630)&gt;=4,MONTH(C6630)&lt;=6),2,IF(AND(MONTH(C6630)&gt;=7,MONTH(C6630)&lt;=9),3,4))))</f>
        <v>4</v>
      </c>
      <c r="D6631" s="36"/>
      <c r="E6631" s="7" t="s">
        <v>37</v>
      </c>
      <c r="F6631" s="6"/>
    </row>
    <row r="6632" spans="1:6" ht="15.75" thickBot="1" x14ac:dyDescent="0.3">
      <c r="A6632" s="36"/>
      <c r="B6632" s="7" t="s">
        <v>39</v>
      </c>
      <c r="C6632" s="15">
        <v>45656</v>
      </c>
      <c r="D6632" s="36"/>
      <c r="E6632" s="7" t="s">
        <v>40</v>
      </c>
      <c r="F6632" s="6"/>
    </row>
    <row r="6633" spans="1:6" ht="15.75" thickBot="1" x14ac:dyDescent="0.3">
      <c r="A6633" s="36"/>
      <c r="B6633" s="7" t="s">
        <v>36</v>
      </c>
      <c r="C6633" s="5">
        <f>IF(C6632="","",IF(AND(MONTH(C6632)&gt;=1,MONTH(C6632)&lt;=3),1,IF(AND(MONTH(C6632)&gt;=4,MONTH(C6632)&lt;=6),2,IF(AND(MONTH(C6632)&gt;=7,MONTH(C6632)&lt;=9),3,4))))</f>
        <v>4</v>
      </c>
      <c r="D6633" s="36"/>
      <c r="E6633" s="7" t="s">
        <v>41</v>
      </c>
      <c r="F6633" s="6"/>
    </row>
    <row r="6634" spans="1:6" ht="15.75" thickBot="1" x14ac:dyDescent="0.3">
      <c r="A6634" s="40"/>
      <c r="B6634" s="40"/>
      <c r="C6634" s="40"/>
      <c r="D6634" s="40"/>
      <c r="E6634" s="40"/>
      <c r="F6634" s="40"/>
    </row>
    <row r="6635" spans="1:6" ht="15.75" thickBot="1" x14ac:dyDescent="0.3">
      <c r="A6635" s="12" t="s">
        <v>42</v>
      </c>
      <c r="B6635" s="12" t="s">
        <v>43</v>
      </c>
      <c r="C6635" s="12" t="s">
        <v>44</v>
      </c>
      <c r="D6635" s="12" t="s">
        <v>45</v>
      </c>
      <c r="E6635" s="12" t="s">
        <v>46</v>
      </c>
      <c r="F6635" s="12" t="s">
        <v>47</v>
      </c>
    </row>
    <row r="6636" spans="1:6" x14ac:dyDescent="0.25">
      <c r="A6636" s="8">
        <v>50161509</v>
      </c>
      <c r="B6636" s="9" t="str">
        <f t="shared" ref="B6636:B6649" ca="1" si="139">IFERROR(INDEX(UNSPSCDes,MATCH(INDIRECT(ADDRESS(ROW(),COLUMN()-1,4)),UNSPSCCode,0)),"")</f>
        <v>Azucares naturales o productos endulzantes</v>
      </c>
      <c r="C6636" s="8" t="s">
        <v>74</v>
      </c>
      <c r="D6636" s="8">
        <v>500</v>
      </c>
      <c r="E6636" s="11">
        <v>83.78</v>
      </c>
      <c r="F6636" s="10">
        <f t="shared" ref="F6636:F6649" ca="1" si="140">INDIRECT(ADDRESS(ROW(),COLUMN()-2,4))*INDIRECT(ADDRESS(ROW(),COLUMN()-1,4))</f>
        <v>41890</v>
      </c>
    </row>
    <row r="6637" spans="1:6" x14ac:dyDescent="0.25">
      <c r="A6637" s="8">
        <v>50221101</v>
      </c>
      <c r="B6637" s="9" t="str">
        <f t="shared" ca="1" si="139"/>
        <v>Grano de cereal</v>
      </c>
      <c r="C6637" s="33" t="s">
        <v>74</v>
      </c>
      <c r="D6637" s="8">
        <v>500</v>
      </c>
      <c r="E6637" s="11">
        <v>231.38</v>
      </c>
      <c r="F6637" s="10">
        <f t="shared" ca="1" si="140"/>
        <v>115690</v>
      </c>
    </row>
    <row r="6638" spans="1:6" x14ac:dyDescent="0.25">
      <c r="A6638" s="8">
        <v>50151513</v>
      </c>
      <c r="B6638" s="9" t="str">
        <f t="shared" ca="1" si="139"/>
        <v>Aceites vegetales o  de planta comestibles</v>
      </c>
      <c r="C6638" s="33" t="s">
        <v>55</v>
      </c>
      <c r="D6638" s="8">
        <v>500</v>
      </c>
      <c r="E6638" s="11">
        <v>132.16</v>
      </c>
      <c r="F6638" s="10">
        <f t="shared" ca="1" si="140"/>
        <v>66080</v>
      </c>
    </row>
    <row r="6639" spans="1:6" x14ac:dyDescent="0.25">
      <c r="A6639" s="8">
        <v>50192111</v>
      </c>
      <c r="B6639" s="9" t="str">
        <f t="shared" ca="1" si="139"/>
        <v>Carne seca o procesada</v>
      </c>
      <c r="C6639" s="33" t="s">
        <v>55</v>
      </c>
      <c r="D6639" s="8">
        <v>500</v>
      </c>
      <c r="E6639" s="11">
        <v>619.5</v>
      </c>
      <c r="F6639" s="10">
        <f t="shared" ca="1" si="140"/>
        <v>309750</v>
      </c>
    </row>
    <row r="6640" spans="1:6" x14ac:dyDescent="0.25">
      <c r="A6640" s="8">
        <v>50201706</v>
      </c>
      <c r="B6640" s="9" t="str">
        <f t="shared" ca="1" si="139"/>
        <v>Café</v>
      </c>
      <c r="C6640" s="33" t="s">
        <v>74</v>
      </c>
      <c r="D6640" s="8">
        <v>500</v>
      </c>
      <c r="E6640" s="11">
        <v>188.8</v>
      </c>
      <c r="F6640" s="10">
        <f t="shared" ca="1" si="140"/>
        <v>94400</v>
      </c>
    </row>
    <row r="6641" spans="1:6" x14ac:dyDescent="0.25">
      <c r="A6641" s="8">
        <v>50171831</v>
      </c>
      <c r="B6641" s="9" t="str">
        <f t="shared" ca="1" si="139"/>
        <v>Salsas para cocinar</v>
      </c>
      <c r="C6641" s="33" t="s">
        <v>55</v>
      </c>
      <c r="D6641" s="8">
        <v>500</v>
      </c>
      <c r="E6641" s="11">
        <v>105.2</v>
      </c>
      <c r="F6641" s="10">
        <f t="shared" ca="1" si="140"/>
        <v>52600</v>
      </c>
    </row>
    <row r="6642" spans="1:6" x14ac:dyDescent="0.25">
      <c r="A6642" s="8">
        <v>50121538</v>
      </c>
      <c r="B6642" s="9" t="str">
        <f t="shared" ca="1" si="139"/>
        <v>Pescado almacenado en repisa</v>
      </c>
      <c r="C6642" s="33" t="s">
        <v>55</v>
      </c>
      <c r="D6642" s="8">
        <v>500</v>
      </c>
      <c r="E6642" s="11">
        <v>142.78</v>
      </c>
      <c r="F6642" s="10">
        <f t="shared" ca="1" si="140"/>
        <v>71390</v>
      </c>
    </row>
    <row r="6643" spans="1:6" x14ac:dyDescent="0.25">
      <c r="A6643" s="8">
        <v>50192902</v>
      </c>
      <c r="B6643" s="9" t="str">
        <f t="shared" ca="1" si="139"/>
        <v>Pasta o fideos de repisa</v>
      </c>
      <c r="C6643" s="33" t="s">
        <v>55</v>
      </c>
      <c r="D6643" s="8">
        <v>500</v>
      </c>
      <c r="E6643" s="11">
        <v>48.38</v>
      </c>
      <c r="F6643" s="10">
        <f t="shared" ca="1" si="140"/>
        <v>24190</v>
      </c>
    </row>
    <row r="6644" spans="1:6" x14ac:dyDescent="0.25">
      <c r="A6644" s="8">
        <v>50101543</v>
      </c>
      <c r="B6644" s="9" t="str">
        <f t="shared" ca="1" si="139"/>
        <v>Judías secas</v>
      </c>
      <c r="C6644" s="33" t="s">
        <v>55</v>
      </c>
      <c r="D6644" s="8">
        <v>500</v>
      </c>
      <c r="E6644" s="11">
        <v>178.18</v>
      </c>
      <c r="F6644" s="10">
        <f t="shared" ca="1" si="140"/>
        <v>89090</v>
      </c>
    </row>
    <row r="6645" spans="1:6" x14ac:dyDescent="0.25">
      <c r="A6645" s="8">
        <v>50131701</v>
      </c>
      <c r="B6645" s="9" t="str">
        <f t="shared" ca="1" si="139"/>
        <v>Productos de leche o mantequilla frescos</v>
      </c>
      <c r="C6645" s="33" t="s">
        <v>55</v>
      </c>
      <c r="D6645" s="8">
        <v>500</v>
      </c>
      <c r="E6645" s="11">
        <v>384.68</v>
      </c>
      <c r="F6645" s="10">
        <f t="shared" ca="1" si="140"/>
        <v>192340</v>
      </c>
    </row>
    <row r="6646" spans="1:6" x14ac:dyDescent="0.25">
      <c r="A6646" s="8">
        <v>50121538</v>
      </c>
      <c r="B6646" s="9" t="str">
        <f t="shared" ca="1" si="139"/>
        <v>Pescado almacenado en repisa</v>
      </c>
      <c r="C6646" s="33" t="s">
        <v>55</v>
      </c>
      <c r="D6646" s="8">
        <v>500</v>
      </c>
      <c r="E6646" s="11">
        <v>148.68</v>
      </c>
      <c r="F6646" s="10">
        <f t="shared" ca="1" si="140"/>
        <v>74340</v>
      </c>
    </row>
    <row r="6647" spans="1:6" x14ac:dyDescent="0.25">
      <c r="A6647" s="8">
        <v>50101542</v>
      </c>
      <c r="B6647" s="9" t="str">
        <f t="shared" ca="1" si="139"/>
        <v>Harina vegetal</v>
      </c>
      <c r="C6647" s="33" t="s">
        <v>55</v>
      </c>
      <c r="D6647" s="8">
        <v>500</v>
      </c>
      <c r="E6647" s="11">
        <v>34.22</v>
      </c>
      <c r="F6647" s="10">
        <f t="shared" ca="1" si="140"/>
        <v>17110</v>
      </c>
    </row>
    <row r="6648" spans="1:6" x14ac:dyDescent="0.25">
      <c r="A6648" s="8">
        <v>50161511</v>
      </c>
      <c r="B6648" s="9" t="str">
        <f t="shared" ca="1" si="139"/>
        <v>Chocolate o sustituto de chocolate</v>
      </c>
      <c r="C6648" s="33" t="s">
        <v>55</v>
      </c>
      <c r="D6648" s="8">
        <v>500</v>
      </c>
      <c r="E6648" s="11">
        <v>112.1</v>
      </c>
      <c r="F6648" s="10">
        <f t="shared" ca="1" si="140"/>
        <v>56050</v>
      </c>
    </row>
    <row r="6649" spans="1:6" x14ac:dyDescent="0.25">
      <c r="A6649" s="8">
        <v>50221101</v>
      </c>
      <c r="B6649" s="9" t="str">
        <f t="shared" ca="1" si="139"/>
        <v>Grano de cereal</v>
      </c>
      <c r="C6649" s="33" t="s">
        <v>55</v>
      </c>
      <c r="D6649" s="8">
        <v>500</v>
      </c>
      <c r="E6649" s="11">
        <v>113.28</v>
      </c>
      <c r="F6649" s="10">
        <f t="shared" ca="1" si="140"/>
        <v>56640</v>
      </c>
    </row>
    <row r="6650" spans="1:6" x14ac:dyDescent="0.25">
      <c r="A6650" s="40"/>
      <c r="B6650" s="40"/>
      <c r="C6650" s="40"/>
      <c r="D6650" s="40"/>
      <c r="E6650" s="13" t="s">
        <v>87</v>
      </c>
      <c r="F6650" s="14">
        <f ca="1">SUM(Table3126294[MONTO TOTAL ESTIMADO])</f>
        <v>1261560</v>
      </c>
    </row>
    <row r="6651" spans="1:6" ht="15.75" thickBot="1" x14ac:dyDescent="0.3">
      <c r="A6651" s="42"/>
      <c r="B6651" s="42"/>
      <c r="C6651" s="42"/>
      <c r="D6651" s="42"/>
      <c r="E6651" s="42"/>
      <c r="F6651" s="42"/>
    </row>
    <row r="6652" spans="1:6" ht="23.25" thickBot="1" x14ac:dyDescent="0.3">
      <c r="A6652" s="4" t="s">
        <v>19</v>
      </c>
      <c r="B6652" s="4" t="s">
        <v>20</v>
      </c>
      <c r="C6652" s="4" t="s">
        <v>21</v>
      </c>
      <c r="D6652" s="4" t="s">
        <v>22</v>
      </c>
      <c r="E6652" s="4" t="s">
        <v>23</v>
      </c>
      <c r="F6652" s="4" t="s">
        <v>24</v>
      </c>
    </row>
    <row r="6653" spans="1:6" ht="15.75" thickBot="1" x14ac:dyDescent="0.3">
      <c r="A6653" s="32" t="s">
        <v>477</v>
      </c>
      <c r="B6653" s="32" t="s">
        <v>478</v>
      </c>
      <c r="C6653" s="32" t="s">
        <v>27</v>
      </c>
      <c r="D6653" s="6" t="s">
        <v>28</v>
      </c>
      <c r="E6653" s="6" t="s">
        <v>262</v>
      </c>
      <c r="F6653" s="6"/>
    </row>
    <row r="6654" spans="1:6" ht="15.75" thickBot="1" x14ac:dyDescent="0.3">
      <c r="A6654" s="35" t="s">
        <v>31</v>
      </c>
      <c r="B6654" s="7" t="s">
        <v>32</v>
      </c>
      <c r="C6654" s="15">
        <v>45566</v>
      </c>
      <c r="D6654" s="35" t="s">
        <v>33</v>
      </c>
      <c r="E6654" s="7" t="s">
        <v>34</v>
      </c>
      <c r="F6654" s="6"/>
    </row>
    <row r="6655" spans="1:6" ht="15.75" thickBot="1" x14ac:dyDescent="0.3">
      <c r="A6655" s="36"/>
      <c r="B6655" s="7" t="s">
        <v>36</v>
      </c>
      <c r="C6655" s="5">
        <f>IF(C6654="","",IF(AND(MONTH(C6654)&gt;=1,MONTH(C6654)&lt;=3),1,IF(AND(MONTH(C6654)&gt;=4,MONTH(C6654)&lt;=6),2,IF(AND(MONTH(C6654)&gt;=7,MONTH(C6654)&lt;=9),3,4))))</f>
        <v>4</v>
      </c>
      <c r="D6655" s="36"/>
      <c r="E6655" s="7" t="s">
        <v>37</v>
      </c>
      <c r="F6655" s="6"/>
    </row>
    <row r="6656" spans="1:6" ht="15.75" thickBot="1" x14ac:dyDescent="0.3">
      <c r="A6656" s="36"/>
      <c r="B6656" s="7" t="s">
        <v>39</v>
      </c>
      <c r="C6656" s="15">
        <v>45656</v>
      </c>
      <c r="D6656" s="36"/>
      <c r="E6656" s="7" t="s">
        <v>40</v>
      </c>
      <c r="F6656" s="6"/>
    </row>
    <row r="6657" spans="1:6" ht="15.75" thickBot="1" x14ac:dyDescent="0.3">
      <c r="A6657" s="36"/>
      <c r="B6657" s="7" t="s">
        <v>36</v>
      </c>
      <c r="C6657" s="5">
        <f>IF(C6656="","",IF(AND(MONTH(C6656)&gt;=1,MONTH(C6656)&lt;=3),1,IF(AND(MONTH(C6656)&gt;=4,MONTH(C6656)&lt;=6),2,IF(AND(MONTH(C6656)&gt;=7,MONTH(C6656)&lt;=9),3,4))))</f>
        <v>4</v>
      </c>
      <c r="D6657" s="36"/>
      <c r="E6657" s="7" t="s">
        <v>41</v>
      </c>
      <c r="F6657" s="6"/>
    </row>
    <row r="6658" spans="1:6" ht="15.75" thickBot="1" x14ac:dyDescent="0.3">
      <c r="A6658" s="40"/>
      <c r="B6658" s="40"/>
      <c r="C6658" s="40"/>
      <c r="D6658" s="40"/>
      <c r="E6658" s="40"/>
      <c r="F6658" s="40"/>
    </row>
    <row r="6659" spans="1:6" ht="15.75" thickBot="1" x14ac:dyDescent="0.3">
      <c r="A6659" s="12" t="s">
        <v>42</v>
      </c>
      <c r="B6659" s="12" t="s">
        <v>43</v>
      </c>
      <c r="C6659" s="12" t="s">
        <v>44</v>
      </c>
      <c r="D6659" s="12" t="s">
        <v>45</v>
      </c>
      <c r="E6659" s="12" t="s">
        <v>46</v>
      </c>
      <c r="F6659" s="12" t="s">
        <v>47</v>
      </c>
    </row>
    <row r="6660" spans="1:6" x14ac:dyDescent="0.25">
      <c r="A6660" s="8">
        <v>52161518</v>
      </c>
      <c r="B6660" s="9" t="str">
        <f ca="1">IFERROR(INDEX(UNSPSCDes,MATCH(INDIRECT(ADDRESS(ROW(),COLUMN()-1,4)),UNSPSCCode,0)),"")</f>
        <v>Receptores de sistemas de posicionamiento global</v>
      </c>
      <c r="C6660" s="33" t="s">
        <v>55</v>
      </c>
      <c r="D6660" s="8">
        <v>30</v>
      </c>
      <c r="E6660" s="11">
        <v>16000</v>
      </c>
      <c r="F6660" s="10">
        <f ca="1">INDIRECT(ADDRESS(ROW(),COLUMN()-2,4))*INDIRECT(ADDRESS(ROW(),COLUMN()-1,4))</f>
        <v>480000</v>
      </c>
    </row>
    <row r="6661" spans="1:6" x14ac:dyDescent="0.25">
      <c r="A6661" s="8">
        <v>46171621</v>
      </c>
      <c r="B6661" s="9" t="str">
        <f ca="1">IFERROR(INDEX(UNSPSCDes,MATCH(INDIRECT(ADDRESS(ROW(),COLUMN()-1,4)),UNSPSCCode,0)),"")</f>
        <v>Grabadoras de video o audio de vigilancia</v>
      </c>
      <c r="C6661" s="33" t="s">
        <v>55</v>
      </c>
      <c r="D6661" s="8">
        <v>20</v>
      </c>
      <c r="E6661" s="11">
        <v>32000</v>
      </c>
      <c r="F6661" s="10">
        <f ca="1">INDIRECT(ADDRESS(ROW(),COLUMN()-2,4))*INDIRECT(ADDRESS(ROW(),COLUMN()-1,4))</f>
        <v>640000</v>
      </c>
    </row>
    <row r="6662" spans="1:6" x14ac:dyDescent="0.25">
      <c r="A6662" s="40"/>
      <c r="B6662" s="40"/>
      <c r="C6662" s="40"/>
      <c r="D6662" s="40"/>
      <c r="E6662" s="13" t="s">
        <v>87</v>
      </c>
      <c r="F6662" s="14">
        <f ca="1">SUM(Table3127295[MONTO TOTAL ESTIMADO])</f>
        <v>1120000</v>
      </c>
    </row>
    <row r="6663" spans="1:6" ht="15.75" thickBot="1" x14ac:dyDescent="0.3">
      <c r="A6663" s="42"/>
      <c r="B6663" s="42"/>
      <c r="C6663" s="42"/>
      <c r="D6663" s="42"/>
      <c r="E6663" s="42"/>
      <c r="F6663" s="42"/>
    </row>
    <row r="6664" spans="1:6" ht="23.25" thickBot="1" x14ac:dyDescent="0.3">
      <c r="A6664" s="4" t="s">
        <v>19</v>
      </c>
      <c r="B6664" s="4" t="s">
        <v>20</v>
      </c>
      <c r="C6664" s="4" t="s">
        <v>21</v>
      </c>
      <c r="D6664" s="4" t="s">
        <v>22</v>
      </c>
      <c r="E6664" s="4" t="s">
        <v>23</v>
      </c>
      <c r="F6664" s="4" t="s">
        <v>24</v>
      </c>
    </row>
    <row r="6665" spans="1:6" ht="15.75" thickBot="1" x14ac:dyDescent="0.3">
      <c r="A6665" s="32" t="s">
        <v>462</v>
      </c>
      <c r="B6665" s="32" t="s">
        <v>463</v>
      </c>
      <c r="C6665" s="32" t="s">
        <v>27</v>
      </c>
      <c r="D6665" s="6" t="s">
        <v>28</v>
      </c>
      <c r="E6665" s="6" t="s">
        <v>262</v>
      </c>
      <c r="F6665" s="6"/>
    </row>
    <row r="6666" spans="1:6" ht="15.75" thickBot="1" x14ac:dyDescent="0.3">
      <c r="A6666" s="35" t="s">
        <v>31</v>
      </c>
      <c r="B6666" s="7" t="s">
        <v>32</v>
      </c>
      <c r="C6666" s="15">
        <v>45566</v>
      </c>
      <c r="D6666" s="35" t="s">
        <v>33</v>
      </c>
      <c r="E6666" s="7" t="s">
        <v>34</v>
      </c>
      <c r="F6666" s="6"/>
    </row>
    <row r="6667" spans="1:6" ht="15.75" thickBot="1" x14ac:dyDescent="0.3">
      <c r="A6667" s="36"/>
      <c r="B6667" s="7" t="s">
        <v>36</v>
      </c>
      <c r="C6667" s="5">
        <f>IF(C6666="","",IF(AND(MONTH(C6666)&gt;=1,MONTH(C6666)&lt;=3),1,IF(AND(MONTH(C6666)&gt;=4,MONTH(C6666)&lt;=6),2,IF(AND(MONTH(C6666)&gt;=7,MONTH(C6666)&lt;=9),3,4))))</f>
        <v>4</v>
      </c>
      <c r="D6667" s="36"/>
      <c r="E6667" s="7" t="s">
        <v>37</v>
      </c>
      <c r="F6667" s="6"/>
    </row>
    <row r="6668" spans="1:6" ht="15.75" thickBot="1" x14ac:dyDescent="0.3">
      <c r="A6668" s="36"/>
      <c r="B6668" s="7" t="s">
        <v>39</v>
      </c>
      <c r="C6668" s="15">
        <v>45656</v>
      </c>
      <c r="D6668" s="36"/>
      <c r="E6668" s="7" t="s">
        <v>40</v>
      </c>
      <c r="F6668" s="6"/>
    </row>
    <row r="6669" spans="1:6" ht="15.75" thickBot="1" x14ac:dyDescent="0.3">
      <c r="A6669" s="36"/>
      <c r="B6669" s="7" t="s">
        <v>36</v>
      </c>
      <c r="C6669" s="5">
        <f>IF(C6668="","",IF(AND(MONTH(C6668)&gt;=1,MONTH(C6668)&lt;=3),1,IF(AND(MONTH(C6668)&gt;=4,MONTH(C6668)&lt;=6),2,IF(AND(MONTH(C6668)&gt;=7,MONTH(C6668)&lt;=9),3,4))))</f>
        <v>4</v>
      </c>
      <c r="D6669" s="36"/>
      <c r="E6669" s="7" t="s">
        <v>41</v>
      </c>
      <c r="F6669" s="6"/>
    </row>
    <row r="6670" spans="1:6" ht="15.75" thickBot="1" x14ac:dyDescent="0.3">
      <c r="A6670" s="40"/>
      <c r="B6670" s="40"/>
      <c r="C6670" s="40"/>
      <c r="D6670" s="40"/>
      <c r="E6670" s="40"/>
      <c r="F6670" s="40"/>
    </row>
    <row r="6671" spans="1:6" ht="15.75" thickBot="1" x14ac:dyDescent="0.3">
      <c r="A6671" s="12" t="s">
        <v>42</v>
      </c>
      <c r="B6671" s="12" t="s">
        <v>43</v>
      </c>
      <c r="C6671" s="12" t="s">
        <v>44</v>
      </c>
      <c r="D6671" s="12" t="s">
        <v>45</v>
      </c>
      <c r="E6671" s="12" t="s">
        <v>46</v>
      </c>
      <c r="F6671" s="12" t="s">
        <v>47</v>
      </c>
    </row>
    <row r="6672" spans="1:6" x14ac:dyDescent="0.25">
      <c r="A6672" s="8">
        <v>50161509</v>
      </c>
      <c r="B6672" s="9" t="str">
        <f t="shared" ref="B6672:B6685" ca="1" si="141">IFERROR(INDEX(UNSPSCDes,MATCH(INDIRECT(ADDRESS(ROW(),COLUMN()-1,4)),UNSPSCCode,0)),"")</f>
        <v>Azucares naturales o productos endulzantes</v>
      </c>
      <c r="C6672" s="8" t="s">
        <v>74</v>
      </c>
      <c r="D6672" s="8">
        <v>500</v>
      </c>
      <c r="E6672" s="11">
        <v>83.78</v>
      </c>
      <c r="F6672" s="10">
        <f t="shared" ref="F6672:F6685" ca="1" si="142">INDIRECT(ADDRESS(ROW(),COLUMN()-2,4))*INDIRECT(ADDRESS(ROW(),COLUMN()-1,4))</f>
        <v>41890</v>
      </c>
    </row>
    <row r="6673" spans="1:6" x14ac:dyDescent="0.25">
      <c r="A6673" s="8">
        <v>50221101</v>
      </c>
      <c r="B6673" s="9" t="str">
        <f t="shared" ca="1" si="141"/>
        <v>Grano de cereal</v>
      </c>
      <c r="C6673" s="33" t="s">
        <v>74</v>
      </c>
      <c r="D6673" s="8">
        <v>500</v>
      </c>
      <c r="E6673" s="11">
        <v>231.38</v>
      </c>
      <c r="F6673" s="10">
        <f t="shared" ca="1" si="142"/>
        <v>115690</v>
      </c>
    </row>
    <row r="6674" spans="1:6" x14ac:dyDescent="0.25">
      <c r="A6674" s="8">
        <v>50151513</v>
      </c>
      <c r="B6674" s="9" t="str">
        <f t="shared" ca="1" si="141"/>
        <v>Aceites vegetales o  de planta comestibles</v>
      </c>
      <c r="C6674" s="33" t="s">
        <v>55</v>
      </c>
      <c r="D6674" s="8">
        <v>500</v>
      </c>
      <c r="E6674" s="11">
        <v>132.16</v>
      </c>
      <c r="F6674" s="10">
        <f t="shared" ca="1" si="142"/>
        <v>66080</v>
      </c>
    </row>
    <row r="6675" spans="1:6" x14ac:dyDescent="0.25">
      <c r="A6675" s="8">
        <v>50192111</v>
      </c>
      <c r="B6675" s="9" t="str">
        <f t="shared" ca="1" si="141"/>
        <v>Carne seca o procesada</v>
      </c>
      <c r="C6675" s="33" t="s">
        <v>55</v>
      </c>
      <c r="D6675" s="8">
        <v>500</v>
      </c>
      <c r="E6675" s="11">
        <v>619.5</v>
      </c>
      <c r="F6675" s="10">
        <f t="shared" ca="1" si="142"/>
        <v>309750</v>
      </c>
    </row>
    <row r="6676" spans="1:6" x14ac:dyDescent="0.25">
      <c r="A6676" s="8">
        <v>50201706</v>
      </c>
      <c r="B6676" s="9" t="str">
        <f t="shared" ca="1" si="141"/>
        <v>Café</v>
      </c>
      <c r="C6676" s="33" t="s">
        <v>74</v>
      </c>
      <c r="D6676" s="8">
        <v>500</v>
      </c>
      <c r="E6676" s="11">
        <v>188.8</v>
      </c>
      <c r="F6676" s="10">
        <f t="shared" ca="1" si="142"/>
        <v>94400</v>
      </c>
    </row>
    <row r="6677" spans="1:6" x14ac:dyDescent="0.25">
      <c r="A6677" s="8">
        <v>50171831</v>
      </c>
      <c r="B6677" s="9" t="str">
        <f t="shared" ca="1" si="141"/>
        <v>Salsas para cocinar</v>
      </c>
      <c r="C6677" s="33" t="s">
        <v>55</v>
      </c>
      <c r="D6677" s="8">
        <v>500</v>
      </c>
      <c r="E6677" s="11">
        <v>105.2</v>
      </c>
      <c r="F6677" s="10">
        <f t="shared" ca="1" si="142"/>
        <v>52600</v>
      </c>
    </row>
    <row r="6678" spans="1:6" x14ac:dyDescent="0.25">
      <c r="A6678" s="8">
        <v>50121538</v>
      </c>
      <c r="B6678" s="9" t="str">
        <f t="shared" ca="1" si="141"/>
        <v>Pescado almacenado en repisa</v>
      </c>
      <c r="C6678" s="33" t="s">
        <v>55</v>
      </c>
      <c r="D6678" s="8">
        <v>500</v>
      </c>
      <c r="E6678" s="11">
        <v>142.78</v>
      </c>
      <c r="F6678" s="10">
        <f t="shared" ca="1" si="142"/>
        <v>71390</v>
      </c>
    </row>
    <row r="6679" spans="1:6" x14ac:dyDescent="0.25">
      <c r="A6679" s="8">
        <v>50192902</v>
      </c>
      <c r="B6679" s="9" t="str">
        <f t="shared" ca="1" si="141"/>
        <v>Pasta o fideos de repisa</v>
      </c>
      <c r="C6679" s="33" t="s">
        <v>55</v>
      </c>
      <c r="D6679" s="8">
        <v>500</v>
      </c>
      <c r="E6679" s="11">
        <v>48.38</v>
      </c>
      <c r="F6679" s="10">
        <f t="shared" ca="1" si="142"/>
        <v>24190</v>
      </c>
    </row>
    <row r="6680" spans="1:6" x14ac:dyDescent="0.25">
      <c r="A6680" s="8">
        <v>50101543</v>
      </c>
      <c r="B6680" s="9" t="str">
        <f t="shared" ca="1" si="141"/>
        <v>Judías secas</v>
      </c>
      <c r="C6680" s="33" t="s">
        <v>55</v>
      </c>
      <c r="D6680" s="8">
        <v>500</v>
      </c>
      <c r="E6680" s="11">
        <v>178.18</v>
      </c>
      <c r="F6680" s="10">
        <f t="shared" ca="1" si="142"/>
        <v>89090</v>
      </c>
    </row>
    <row r="6681" spans="1:6" x14ac:dyDescent="0.25">
      <c r="A6681" s="8">
        <v>50131701</v>
      </c>
      <c r="B6681" s="9" t="str">
        <f t="shared" ca="1" si="141"/>
        <v>Productos de leche o mantequilla frescos</v>
      </c>
      <c r="C6681" s="33" t="s">
        <v>55</v>
      </c>
      <c r="D6681" s="8">
        <v>500</v>
      </c>
      <c r="E6681" s="11">
        <v>384.68</v>
      </c>
      <c r="F6681" s="10">
        <f t="shared" ca="1" si="142"/>
        <v>192340</v>
      </c>
    </row>
    <row r="6682" spans="1:6" x14ac:dyDescent="0.25">
      <c r="A6682" s="8">
        <v>50121538</v>
      </c>
      <c r="B6682" s="9" t="str">
        <f t="shared" ca="1" si="141"/>
        <v>Pescado almacenado en repisa</v>
      </c>
      <c r="C6682" s="33" t="s">
        <v>55</v>
      </c>
      <c r="D6682" s="8">
        <v>500</v>
      </c>
      <c r="E6682" s="11">
        <v>148.68</v>
      </c>
      <c r="F6682" s="10">
        <f t="shared" ca="1" si="142"/>
        <v>74340</v>
      </c>
    </row>
    <row r="6683" spans="1:6" x14ac:dyDescent="0.25">
      <c r="A6683" s="8">
        <v>50101542</v>
      </c>
      <c r="B6683" s="9" t="str">
        <f t="shared" ca="1" si="141"/>
        <v>Harina vegetal</v>
      </c>
      <c r="C6683" s="33" t="s">
        <v>55</v>
      </c>
      <c r="D6683" s="8">
        <v>500</v>
      </c>
      <c r="E6683" s="11">
        <v>34.22</v>
      </c>
      <c r="F6683" s="10">
        <f t="shared" ca="1" si="142"/>
        <v>17110</v>
      </c>
    </row>
    <row r="6684" spans="1:6" x14ac:dyDescent="0.25">
      <c r="A6684" s="8">
        <v>50161511</v>
      </c>
      <c r="B6684" s="9" t="str">
        <f t="shared" ca="1" si="141"/>
        <v>Chocolate o sustituto de chocolate</v>
      </c>
      <c r="C6684" s="33" t="s">
        <v>55</v>
      </c>
      <c r="D6684" s="8">
        <v>500</v>
      </c>
      <c r="E6684" s="11">
        <v>112.1</v>
      </c>
      <c r="F6684" s="10">
        <f t="shared" ca="1" si="142"/>
        <v>56050</v>
      </c>
    </row>
    <row r="6685" spans="1:6" x14ac:dyDescent="0.25">
      <c r="A6685" s="8">
        <v>50221101</v>
      </c>
      <c r="B6685" s="9" t="str">
        <f t="shared" ca="1" si="141"/>
        <v>Grano de cereal</v>
      </c>
      <c r="C6685" s="33" t="s">
        <v>55</v>
      </c>
      <c r="D6685" s="8">
        <v>500</v>
      </c>
      <c r="E6685" s="11">
        <v>113.28</v>
      </c>
      <c r="F6685" s="10">
        <f t="shared" ca="1" si="142"/>
        <v>56640</v>
      </c>
    </row>
    <row r="6686" spans="1:6" x14ac:dyDescent="0.25">
      <c r="A6686" s="40"/>
      <c r="B6686" s="40"/>
      <c r="C6686" s="40"/>
      <c r="D6686" s="40"/>
      <c r="E6686" s="13" t="s">
        <v>87</v>
      </c>
      <c r="F6686" s="14">
        <f ca="1">SUM(Table3128296[MONTO TOTAL ESTIMADO])</f>
        <v>1261560</v>
      </c>
    </row>
    <row r="6687" spans="1:6" ht="15.75" thickBot="1" x14ac:dyDescent="0.3">
      <c r="A6687" s="42"/>
      <c r="B6687" s="42"/>
      <c r="C6687" s="42"/>
      <c r="D6687" s="42"/>
      <c r="E6687" s="42"/>
      <c r="F6687" s="42"/>
    </row>
    <row r="6688" spans="1:6" ht="23.25" thickBot="1" x14ac:dyDescent="0.3">
      <c r="A6688" s="4" t="s">
        <v>19</v>
      </c>
      <c r="B6688" s="4" t="s">
        <v>20</v>
      </c>
      <c r="C6688" s="4" t="s">
        <v>21</v>
      </c>
      <c r="D6688" s="4" t="s">
        <v>22</v>
      </c>
      <c r="E6688" s="4" t="s">
        <v>23</v>
      </c>
      <c r="F6688" s="4" t="s">
        <v>24</v>
      </c>
    </row>
    <row r="6689" spans="1:6" ht="15.75" thickBot="1" x14ac:dyDescent="0.3">
      <c r="A6689" s="32" t="s">
        <v>481</v>
      </c>
      <c r="B6689" s="32" t="s">
        <v>482</v>
      </c>
      <c r="C6689" s="32" t="s">
        <v>27</v>
      </c>
      <c r="D6689" s="6" t="s">
        <v>28</v>
      </c>
      <c r="E6689" s="6" t="s">
        <v>262</v>
      </c>
      <c r="F6689" s="6"/>
    </row>
    <row r="6690" spans="1:6" ht="15.75" thickBot="1" x14ac:dyDescent="0.3">
      <c r="A6690" s="35" t="s">
        <v>31</v>
      </c>
      <c r="B6690" s="7" t="s">
        <v>32</v>
      </c>
      <c r="C6690" s="15">
        <v>45566</v>
      </c>
      <c r="D6690" s="35" t="s">
        <v>33</v>
      </c>
      <c r="E6690" s="7" t="s">
        <v>34</v>
      </c>
      <c r="F6690" s="6"/>
    </row>
    <row r="6691" spans="1:6" ht="15.75" thickBot="1" x14ac:dyDescent="0.3">
      <c r="A6691" s="36"/>
      <c r="B6691" s="7" t="s">
        <v>36</v>
      </c>
      <c r="C6691" s="5">
        <f>IF(C6690="","",IF(AND(MONTH(C6690)&gt;=1,MONTH(C6690)&lt;=3),1,IF(AND(MONTH(C6690)&gt;=4,MONTH(C6690)&lt;=6),2,IF(AND(MONTH(C6690)&gt;=7,MONTH(C6690)&lt;=9),3,4))))</f>
        <v>4</v>
      </c>
      <c r="D6691" s="36"/>
      <c r="E6691" s="7" t="s">
        <v>37</v>
      </c>
      <c r="F6691" s="6"/>
    </row>
    <row r="6692" spans="1:6" ht="15.75" thickBot="1" x14ac:dyDescent="0.3">
      <c r="A6692" s="36"/>
      <c r="B6692" s="7" t="s">
        <v>39</v>
      </c>
      <c r="C6692" s="15">
        <v>45656</v>
      </c>
      <c r="D6692" s="36"/>
      <c r="E6692" s="7" t="s">
        <v>40</v>
      </c>
      <c r="F6692" s="6"/>
    </row>
    <row r="6693" spans="1:6" ht="15.75" thickBot="1" x14ac:dyDescent="0.3">
      <c r="A6693" s="36"/>
      <c r="B6693" s="7" t="s">
        <v>36</v>
      </c>
      <c r="C6693" s="5">
        <f>IF(C6692="","",IF(AND(MONTH(C6692)&gt;=1,MONTH(C6692)&lt;=3),1,IF(AND(MONTH(C6692)&gt;=4,MONTH(C6692)&lt;=6),2,IF(AND(MONTH(C6692)&gt;=7,MONTH(C6692)&lt;=9),3,4))))</f>
        <v>4</v>
      </c>
      <c r="D6693" s="36"/>
      <c r="E6693" s="7" t="s">
        <v>41</v>
      </c>
      <c r="F6693" s="6"/>
    </row>
    <row r="6694" spans="1:6" ht="15.75" thickBot="1" x14ac:dyDescent="0.3">
      <c r="A6694" s="40"/>
      <c r="B6694" s="40"/>
      <c r="C6694" s="40"/>
      <c r="D6694" s="40"/>
      <c r="E6694" s="40"/>
      <c r="F6694" s="40"/>
    </row>
    <row r="6695" spans="1:6" ht="15.75" thickBot="1" x14ac:dyDescent="0.3">
      <c r="A6695" s="12" t="s">
        <v>42</v>
      </c>
      <c r="B6695" s="12" t="s">
        <v>43</v>
      </c>
      <c r="C6695" s="12" t="s">
        <v>44</v>
      </c>
      <c r="D6695" s="12" t="s">
        <v>45</v>
      </c>
      <c r="E6695" s="12" t="s">
        <v>46</v>
      </c>
      <c r="F6695" s="12" t="s">
        <v>47</v>
      </c>
    </row>
    <row r="6696" spans="1:6" x14ac:dyDescent="0.25">
      <c r="A6696" s="8">
        <v>31231201</v>
      </c>
      <c r="B6696" s="9" t="str">
        <f t="shared" ref="B6696:B6703" ca="1" si="143">IFERROR(INDEX(UNSPSCDes,MATCH(INDIRECT(ADDRESS(ROW(),COLUMN()-1,4)),UNSPSCCode,0)),"")</f>
        <v>Aluminio en placa labrada</v>
      </c>
      <c r="C6696" s="8" t="s">
        <v>55</v>
      </c>
      <c r="D6696" s="8">
        <v>120</v>
      </c>
      <c r="E6696" s="11">
        <v>383.33</v>
      </c>
      <c r="F6696" s="10">
        <f t="shared" ref="F6696:F6703" ca="1" si="144">INDIRECT(ADDRESS(ROW(),COLUMN()-2,4))*INDIRECT(ADDRESS(ROW(),COLUMN()-1,4))</f>
        <v>45999.6</v>
      </c>
    </row>
    <row r="6697" spans="1:6" x14ac:dyDescent="0.25">
      <c r="A6697" s="8">
        <v>31231201</v>
      </c>
      <c r="B6697" s="9" t="str">
        <f t="shared" ca="1" si="143"/>
        <v>Aluminio en placa labrada</v>
      </c>
      <c r="C6697" s="33" t="s">
        <v>55</v>
      </c>
      <c r="D6697" s="8">
        <v>70</v>
      </c>
      <c r="E6697" s="11">
        <v>414.28</v>
      </c>
      <c r="F6697" s="10">
        <f t="shared" ca="1" si="144"/>
        <v>28999.599999999999</v>
      </c>
    </row>
    <row r="6698" spans="1:6" x14ac:dyDescent="0.25">
      <c r="A6698" s="8">
        <v>39111521</v>
      </c>
      <c r="B6698" s="9" t="str">
        <f t="shared" ca="1" si="143"/>
        <v>Plafones</v>
      </c>
      <c r="C6698" s="33" t="s">
        <v>55</v>
      </c>
      <c r="D6698" s="8">
        <v>120</v>
      </c>
      <c r="E6698" s="11">
        <v>1900</v>
      </c>
      <c r="F6698" s="10">
        <f t="shared" ca="1" si="144"/>
        <v>228000</v>
      </c>
    </row>
    <row r="6699" spans="1:6" x14ac:dyDescent="0.25">
      <c r="A6699" s="8">
        <v>31201605</v>
      </c>
      <c r="B6699" s="9" t="str">
        <f t="shared" ca="1" si="143"/>
        <v>Masillas</v>
      </c>
      <c r="C6699" s="33" t="s">
        <v>55</v>
      </c>
      <c r="D6699" s="8">
        <v>15</v>
      </c>
      <c r="E6699" s="11">
        <v>3300</v>
      </c>
      <c r="F6699" s="10">
        <f t="shared" ca="1" si="144"/>
        <v>49500</v>
      </c>
    </row>
    <row r="6700" spans="1:6" x14ac:dyDescent="0.25">
      <c r="A6700" s="8">
        <v>31201511</v>
      </c>
      <c r="B6700" s="9" t="str">
        <f t="shared" ca="1" si="143"/>
        <v>Cinta de malla metálica</v>
      </c>
      <c r="C6700" s="33" t="s">
        <v>55</v>
      </c>
      <c r="D6700" s="8">
        <v>10</v>
      </c>
      <c r="E6700" s="11">
        <v>910</v>
      </c>
      <c r="F6700" s="10">
        <f t="shared" ca="1" si="144"/>
        <v>9100</v>
      </c>
    </row>
    <row r="6701" spans="1:6" x14ac:dyDescent="0.25">
      <c r="A6701" s="8">
        <v>31161507</v>
      </c>
      <c r="B6701" s="9" t="str">
        <f t="shared" ca="1" si="143"/>
        <v>Tornillos roscadores</v>
      </c>
      <c r="C6701" s="33" t="s">
        <v>55</v>
      </c>
      <c r="D6701" s="8">
        <v>10</v>
      </c>
      <c r="E6701" s="11">
        <v>700</v>
      </c>
      <c r="F6701" s="10">
        <f t="shared" ca="1" si="144"/>
        <v>7000</v>
      </c>
    </row>
    <row r="6702" spans="1:6" x14ac:dyDescent="0.25">
      <c r="A6702" s="8">
        <v>31161507</v>
      </c>
      <c r="B6702" s="9" t="str">
        <f t="shared" ca="1" si="143"/>
        <v>Tornillos roscadores</v>
      </c>
      <c r="C6702" s="33" t="s">
        <v>55</v>
      </c>
      <c r="D6702" s="8">
        <v>30</v>
      </c>
      <c r="E6702" s="11">
        <v>600</v>
      </c>
      <c r="F6702" s="10">
        <f t="shared" ca="1" si="144"/>
        <v>18000</v>
      </c>
    </row>
    <row r="6703" spans="1:6" x14ac:dyDescent="0.25">
      <c r="A6703" s="8">
        <v>27111909</v>
      </c>
      <c r="B6703" s="9" t="str">
        <f t="shared" ca="1" si="143"/>
        <v>Espátulas</v>
      </c>
      <c r="C6703" s="33" t="s">
        <v>55</v>
      </c>
      <c r="D6703" s="8">
        <v>2</v>
      </c>
      <c r="E6703" s="11">
        <v>650</v>
      </c>
      <c r="F6703" s="10">
        <f t="shared" ca="1" si="144"/>
        <v>1300</v>
      </c>
    </row>
    <row r="6704" spans="1:6" x14ac:dyDescent="0.25">
      <c r="A6704" s="40"/>
      <c r="B6704" s="40"/>
      <c r="C6704" s="40"/>
      <c r="D6704" s="40"/>
      <c r="E6704" s="13" t="s">
        <v>87</v>
      </c>
      <c r="F6704" s="14">
        <f ca="1">SUM(Table3129297[MONTO TOTAL ESTIMADO])</f>
        <v>387899.2</v>
      </c>
    </row>
    <row r="6705" spans="1:6" ht="15.75" thickBot="1" x14ac:dyDescent="0.3">
      <c r="A6705" s="42"/>
      <c r="B6705" s="42"/>
      <c r="C6705" s="42"/>
      <c r="D6705" s="42"/>
      <c r="E6705" s="42"/>
      <c r="F6705" s="42"/>
    </row>
    <row r="6706" spans="1:6" ht="23.25" thickBot="1" x14ac:dyDescent="0.3">
      <c r="A6706" s="4" t="s">
        <v>19</v>
      </c>
      <c r="B6706" s="4" t="s">
        <v>20</v>
      </c>
      <c r="C6706" s="4" t="s">
        <v>21</v>
      </c>
      <c r="D6706" s="4" t="s">
        <v>22</v>
      </c>
      <c r="E6706" s="4" t="s">
        <v>23</v>
      </c>
      <c r="F6706" s="4" t="s">
        <v>24</v>
      </c>
    </row>
    <row r="6707" spans="1:6" ht="15.75" thickBot="1" x14ac:dyDescent="0.3">
      <c r="A6707" s="32" t="s">
        <v>462</v>
      </c>
      <c r="B6707" s="32" t="s">
        <v>463</v>
      </c>
      <c r="C6707" s="32" t="s">
        <v>27</v>
      </c>
      <c r="D6707" s="6" t="s">
        <v>28</v>
      </c>
      <c r="E6707" s="6" t="s">
        <v>262</v>
      </c>
      <c r="F6707" s="6"/>
    </row>
    <row r="6708" spans="1:6" ht="15.75" thickBot="1" x14ac:dyDescent="0.3">
      <c r="A6708" s="35" t="s">
        <v>31</v>
      </c>
      <c r="B6708" s="7" t="s">
        <v>32</v>
      </c>
      <c r="C6708" s="15">
        <v>45566</v>
      </c>
      <c r="D6708" s="35" t="s">
        <v>33</v>
      </c>
      <c r="E6708" s="7" t="s">
        <v>34</v>
      </c>
      <c r="F6708" s="6"/>
    </row>
    <row r="6709" spans="1:6" ht="15.75" thickBot="1" x14ac:dyDescent="0.3">
      <c r="A6709" s="36"/>
      <c r="B6709" s="7" t="s">
        <v>36</v>
      </c>
      <c r="C6709" s="5">
        <f>IF(C6708="","",IF(AND(MONTH(C6708)&gt;=1,MONTH(C6708)&lt;=3),1,IF(AND(MONTH(C6708)&gt;=4,MONTH(C6708)&lt;=6),2,IF(AND(MONTH(C6708)&gt;=7,MONTH(C6708)&lt;=9),3,4))))</f>
        <v>4</v>
      </c>
      <c r="D6709" s="36"/>
      <c r="E6709" s="7" t="s">
        <v>37</v>
      </c>
      <c r="F6709" s="6"/>
    </row>
    <row r="6710" spans="1:6" ht="15.75" thickBot="1" x14ac:dyDescent="0.3">
      <c r="A6710" s="36"/>
      <c r="B6710" s="7" t="s">
        <v>39</v>
      </c>
      <c r="C6710" s="15">
        <v>45656</v>
      </c>
      <c r="D6710" s="36"/>
      <c r="E6710" s="7" t="s">
        <v>40</v>
      </c>
      <c r="F6710" s="6"/>
    </row>
    <row r="6711" spans="1:6" ht="15.75" thickBot="1" x14ac:dyDescent="0.3">
      <c r="A6711" s="36"/>
      <c r="B6711" s="7" t="s">
        <v>36</v>
      </c>
      <c r="C6711" s="5">
        <f>IF(C6710="","",IF(AND(MONTH(C6710)&gt;=1,MONTH(C6710)&lt;=3),1,IF(AND(MONTH(C6710)&gt;=4,MONTH(C6710)&lt;=6),2,IF(AND(MONTH(C6710)&gt;=7,MONTH(C6710)&lt;=9),3,4))))</f>
        <v>4</v>
      </c>
      <c r="D6711" s="36"/>
      <c r="E6711" s="7" t="s">
        <v>41</v>
      </c>
      <c r="F6711" s="6"/>
    </row>
    <row r="6712" spans="1:6" ht="15.75" thickBot="1" x14ac:dyDescent="0.3">
      <c r="A6712" s="40"/>
      <c r="B6712" s="40"/>
      <c r="C6712" s="40"/>
      <c r="D6712" s="40"/>
      <c r="E6712" s="40"/>
      <c r="F6712" s="40"/>
    </row>
    <row r="6713" spans="1:6" ht="15.75" thickBot="1" x14ac:dyDescent="0.3">
      <c r="A6713" s="12" t="s">
        <v>42</v>
      </c>
      <c r="B6713" s="12" t="s">
        <v>43</v>
      </c>
      <c r="C6713" s="12" t="s">
        <v>44</v>
      </c>
      <c r="D6713" s="12" t="s">
        <v>45</v>
      </c>
      <c r="E6713" s="12" t="s">
        <v>46</v>
      </c>
      <c r="F6713" s="12" t="s">
        <v>47</v>
      </c>
    </row>
    <row r="6714" spans="1:6" x14ac:dyDescent="0.25">
      <c r="A6714" s="8">
        <v>50161509</v>
      </c>
      <c r="B6714" s="9" t="str">
        <f t="shared" ref="B6714:B6727" ca="1" si="145">IFERROR(INDEX(UNSPSCDes,MATCH(INDIRECT(ADDRESS(ROW(),COLUMN()-1,4)),UNSPSCCode,0)),"")</f>
        <v>Azucares naturales o productos endulzantes</v>
      </c>
      <c r="C6714" s="8" t="s">
        <v>74</v>
      </c>
      <c r="D6714" s="8">
        <v>500</v>
      </c>
      <c r="E6714" s="11">
        <v>83.78</v>
      </c>
      <c r="F6714" s="10">
        <f t="shared" ref="F6714:F6727" ca="1" si="146">INDIRECT(ADDRESS(ROW(),COLUMN()-2,4))*INDIRECT(ADDRESS(ROW(),COLUMN()-1,4))</f>
        <v>41890</v>
      </c>
    </row>
    <row r="6715" spans="1:6" x14ac:dyDescent="0.25">
      <c r="A6715" s="8">
        <v>50221101</v>
      </c>
      <c r="B6715" s="9" t="str">
        <f t="shared" ca="1" si="145"/>
        <v>Grano de cereal</v>
      </c>
      <c r="C6715" s="8" t="s">
        <v>74</v>
      </c>
      <c r="D6715" s="8">
        <v>500</v>
      </c>
      <c r="E6715" s="11">
        <v>231.38</v>
      </c>
      <c r="F6715" s="10">
        <f t="shared" ca="1" si="146"/>
        <v>115690</v>
      </c>
    </row>
    <row r="6716" spans="1:6" x14ac:dyDescent="0.25">
      <c r="A6716" s="8">
        <v>50151513</v>
      </c>
      <c r="B6716" s="9" t="str">
        <f t="shared" ca="1" si="145"/>
        <v>Aceites vegetales o  de planta comestibles</v>
      </c>
      <c r="C6716" s="8" t="s">
        <v>55</v>
      </c>
      <c r="D6716" s="8">
        <v>500</v>
      </c>
      <c r="E6716" s="11">
        <v>132.16</v>
      </c>
      <c r="F6716" s="10">
        <f t="shared" ca="1" si="146"/>
        <v>66080</v>
      </c>
    </row>
    <row r="6717" spans="1:6" x14ac:dyDescent="0.25">
      <c r="A6717" s="8">
        <v>50192111</v>
      </c>
      <c r="B6717" s="9" t="str">
        <f t="shared" ca="1" si="145"/>
        <v>Carne seca o procesada</v>
      </c>
      <c r="C6717" s="33" t="s">
        <v>55</v>
      </c>
      <c r="D6717" s="8">
        <v>500</v>
      </c>
      <c r="E6717" s="11">
        <v>619.5</v>
      </c>
      <c r="F6717" s="10">
        <f t="shared" ca="1" si="146"/>
        <v>309750</v>
      </c>
    </row>
    <row r="6718" spans="1:6" x14ac:dyDescent="0.25">
      <c r="A6718" s="8">
        <v>50201706</v>
      </c>
      <c r="B6718" s="9" t="str">
        <f t="shared" ca="1" si="145"/>
        <v>Café</v>
      </c>
      <c r="C6718" s="33" t="s">
        <v>74</v>
      </c>
      <c r="D6718" s="8">
        <v>500</v>
      </c>
      <c r="E6718" s="11">
        <v>188.8</v>
      </c>
      <c r="F6718" s="10">
        <f t="shared" ca="1" si="146"/>
        <v>94400</v>
      </c>
    </row>
    <row r="6719" spans="1:6" x14ac:dyDescent="0.25">
      <c r="A6719" s="8">
        <v>50171831</v>
      </c>
      <c r="B6719" s="9" t="str">
        <f t="shared" ca="1" si="145"/>
        <v>Salsas para cocinar</v>
      </c>
      <c r="C6719" s="8" t="s">
        <v>55</v>
      </c>
      <c r="D6719" s="8">
        <v>500</v>
      </c>
      <c r="E6719" s="11">
        <v>105.2</v>
      </c>
      <c r="F6719" s="10">
        <f t="shared" ca="1" si="146"/>
        <v>52600</v>
      </c>
    </row>
    <row r="6720" spans="1:6" x14ac:dyDescent="0.25">
      <c r="A6720" s="8">
        <v>50121538</v>
      </c>
      <c r="B6720" s="9" t="str">
        <f t="shared" ca="1" si="145"/>
        <v>Pescado almacenado en repisa</v>
      </c>
      <c r="C6720" s="8" t="s">
        <v>55</v>
      </c>
      <c r="D6720" s="8">
        <v>500</v>
      </c>
      <c r="E6720" s="11">
        <v>142.78</v>
      </c>
      <c r="F6720" s="10">
        <f t="shared" ca="1" si="146"/>
        <v>71390</v>
      </c>
    </row>
    <row r="6721" spans="1:6" x14ac:dyDescent="0.25">
      <c r="A6721" s="8">
        <v>50192902</v>
      </c>
      <c r="B6721" s="9" t="str">
        <f t="shared" ca="1" si="145"/>
        <v>Pasta o fideos de repisa</v>
      </c>
      <c r="C6721" s="8" t="s">
        <v>55</v>
      </c>
      <c r="D6721" s="8">
        <v>500</v>
      </c>
      <c r="E6721" s="11">
        <v>48.38</v>
      </c>
      <c r="F6721" s="10">
        <f t="shared" ca="1" si="146"/>
        <v>24190</v>
      </c>
    </row>
    <row r="6722" spans="1:6" x14ac:dyDescent="0.25">
      <c r="A6722" s="8">
        <v>50101543</v>
      </c>
      <c r="B6722" s="9" t="str">
        <f t="shared" ca="1" si="145"/>
        <v>Judías secas</v>
      </c>
      <c r="C6722" s="8" t="s">
        <v>55</v>
      </c>
      <c r="D6722" s="8">
        <v>500</v>
      </c>
      <c r="E6722" s="11">
        <v>178.18</v>
      </c>
      <c r="F6722" s="10">
        <f t="shared" ca="1" si="146"/>
        <v>89090</v>
      </c>
    </row>
    <row r="6723" spans="1:6" x14ac:dyDescent="0.25">
      <c r="A6723" s="8">
        <v>50131701</v>
      </c>
      <c r="B6723" s="9" t="str">
        <f t="shared" ca="1" si="145"/>
        <v>Productos de leche o mantequilla frescos</v>
      </c>
      <c r="C6723" s="8" t="s">
        <v>55</v>
      </c>
      <c r="D6723" s="8">
        <v>500</v>
      </c>
      <c r="E6723" s="11">
        <v>384.68</v>
      </c>
      <c r="F6723" s="10">
        <f t="shared" ca="1" si="146"/>
        <v>192340</v>
      </c>
    </row>
    <row r="6724" spans="1:6" x14ac:dyDescent="0.25">
      <c r="A6724" s="8">
        <v>50121538</v>
      </c>
      <c r="B6724" s="9" t="str">
        <f t="shared" ca="1" si="145"/>
        <v>Pescado almacenado en repisa</v>
      </c>
      <c r="C6724" s="8" t="s">
        <v>55</v>
      </c>
      <c r="D6724" s="8">
        <v>500</v>
      </c>
      <c r="E6724" s="11">
        <v>148.68</v>
      </c>
      <c r="F6724" s="10">
        <f t="shared" ca="1" si="146"/>
        <v>74340</v>
      </c>
    </row>
    <row r="6725" spans="1:6" x14ac:dyDescent="0.25">
      <c r="A6725" s="8">
        <v>50101542</v>
      </c>
      <c r="B6725" s="9" t="str">
        <f t="shared" ca="1" si="145"/>
        <v>Harina vegetal</v>
      </c>
      <c r="C6725" s="8" t="s">
        <v>55</v>
      </c>
      <c r="D6725" s="8">
        <v>500</v>
      </c>
      <c r="E6725" s="11">
        <v>34.22</v>
      </c>
      <c r="F6725" s="10">
        <f t="shared" ca="1" si="146"/>
        <v>17110</v>
      </c>
    </row>
    <row r="6726" spans="1:6" x14ac:dyDescent="0.25">
      <c r="A6726" s="8">
        <v>50161511</v>
      </c>
      <c r="B6726" s="9" t="str">
        <f t="shared" ca="1" si="145"/>
        <v>Chocolate o sustituto de chocolate</v>
      </c>
      <c r="C6726" s="8" t="s">
        <v>55</v>
      </c>
      <c r="D6726" s="8">
        <v>500</v>
      </c>
      <c r="E6726" s="11">
        <v>112.1</v>
      </c>
      <c r="F6726" s="10">
        <f t="shared" ca="1" si="146"/>
        <v>56050</v>
      </c>
    </row>
    <row r="6727" spans="1:6" x14ac:dyDescent="0.25">
      <c r="A6727" s="8">
        <v>50221101</v>
      </c>
      <c r="B6727" s="9" t="str">
        <f t="shared" ca="1" si="145"/>
        <v>Grano de cereal</v>
      </c>
      <c r="C6727" s="8" t="s">
        <v>55</v>
      </c>
      <c r="D6727" s="8">
        <v>500</v>
      </c>
      <c r="E6727" s="11">
        <v>113.28</v>
      </c>
      <c r="F6727" s="10">
        <f t="shared" ca="1" si="146"/>
        <v>56640</v>
      </c>
    </row>
    <row r="6728" spans="1:6" x14ac:dyDescent="0.25">
      <c r="A6728" s="40"/>
      <c r="B6728" s="40"/>
      <c r="C6728" s="40"/>
      <c r="D6728" s="40"/>
      <c r="E6728" s="13" t="s">
        <v>87</v>
      </c>
      <c r="F6728" s="14">
        <f ca="1">SUM(Table3130298[MONTO TOTAL ESTIMADO])</f>
        <v>1261560</v>
      </c>
    </row>
    <row r="6729" spans="1:6" ht="15.75" thickBot="1" x14ac:dyDescent="0.3">
      <c r="A6729" s="42"/>
      <c r="B6729" s="42"/>
      <c r="C6729" s="42"/>
      <c r="D6729" s="42"/>
      <c r="E6729" s="42"/>
      <c r="F6729" s="42"/>
    </row>
    <row r="6730" spans="1:6" ht="23.25" thickBot="1" x14ac:dyDescent="0.3">
      <c r="A6730" s="4" t="s">
        <v>19</v>
      </c>
      <c r="B6730" s="4" t="s">
        <v>20</v>
      </c>
      <c r="C6730" s="4" t="s">
        <v>21</v>
      </c>
      <c r="D6730" s="4" t="s">
        <v>22</v>
      </c>
      <c r="E6730" s="4" t="s">
        <v>23</v>
      </c>
      <c r="F6730" s="4" t="s">
        <v>24</v>
      </c>
    </row>
    <row r="6731" spans="1:6" ht="15.75" thickBot="1" x14ac:dyDescent="0.3">
      <c r="A6731" s="32" t="s">
        <v>489</v>
      </c>
      <c r="B6731" s="32" t="s">
        <v>490</v>
      </c>
      <c r="C6731" s="32" t="s">
        <v>27</v>
      </c>
      <c r="D6731" s="6" t="s">
        <v>28</v>
      </c>
      <c r="E6731" s="6" t="s">
        <v>262</v>
      </c>
      <c r="F6731" s="6"/>
    </row>
    <row r="6732" spans="1:6" ht="15.75" thickBot="1" x14ac:dyDescent="0.3">
      <c r="A6732" s="35" t="s">
        <v>31</v>
      </c>
      <c r="B6732" s="7" t="s">
        <v>32</v>
      </c>
      <c r="C6732" s="15">
        <v>45566</v>
      </c>
      <c r="D6732" s="35" t="s">
        <v>33</v>
      </c>
      <c r="E6732" s="7" t="s">
        <v>34</v>
      </c>
      <c r="F6732" s="6"/>
    </row>
    <row r="6733" spans="1:6" ht="15.75" thickBot="1" x14ac:dyDescent="0.3">
      <c r="A6733" s="36"/>
      <c r="B6733" s="7" t="s">
        <v>36</v>
      </c>
      <c r="C6733" s="5">
        <f>IF(C6732="","",IF(AND(MONTH(C6732)&gt;=1,MONTH(C6732)&lt;=3),1,IF(AND(MONTH(C6732)&gt;=4,MONTH(C6732)&lt;=6),2,IF(AND(MONTH(C6732)&gt;=7,MONTH(C6732)&lt;=9),3,4))))</f>
        <v>4</v>
      </c>
      <c r="D6733" s="36"/>
      <c r="E6733" s="7" t="s">
        <v>37</v>
      </c>
      <c r="F6733" s="6"/>
    </row>
    <row r="6734" spans="1:6" ht="15.75" thickBot="1" x14ac:dyDescent="0.3">
      <c r="A6734" s="36"/>
      <c r="B6734" s="7" t="s">
        <v>39</v>
      </c>
      <c r="C6734" s="15">
        <v>45656</v>
      </c>
      <c r="D6734" s="36"/>
      <c r="E6734" s="7" t="s">
        <v>40</v>
      </c>
      <c r="F6734" s="6"/>
    </row>
    <row r="6735" spans="1:6" ht="15.75" thickBot="1" x14ac:dyDescent="0.3">
      <c r="A6735" s="36"/>
      <c r="B6735" s="7" t="s">
        <v>36</v>
      </c>
      <c r="C6735" s="5">
        <f>IF(C6734="","",IF(AND(MONTH(C6734)&gt;=1,MONTH(C6734)&lt;=3),1,IF(AND(MONTH(C6734)&gt;=4,MONTH(C6734)&lt;=6),2,IF(AND(MONTH(C6734)&gt;=7,MONTH(C6734)&lt;=9),3,4))))</f>
        <v>4</v>
      </c>
      <c r="D6735" s="36"/>
      <c r="E6735" s="7" t="s">
        <v>41</v>
      </c>
      <c r="F6735" s="6"/>
    </row>
    <row r="6736" spans="1:6" ht="15.75" thickBot="1" x14ac:dyDescent="0.3">
      <c r="A6736" s="40"/>
      <c r="B6736" s="40"/>
      <c r="C6736" s="40"/>
      <c r="D6736" s="40"/>
      <c r="E6736" s="40"/>
      <c r="F6736" s="40"/>
    </row>
    <row r="6737" spans="1:6" ht="15.75" thickBot="1" x14ac:dyDescent="0.3">
      <c r="A6737" s="12" t="s">
        <v>42</v>
      </c>
      <c r="B6737" s="12" t="s">
        <v>43</v>
      </c>
      <c r="C6737" s="12" t="s">
        <v>44</v>
      </c>
      <c r="D6737" s="12" t="s">
        <v>45</v>
      </c>
      <c r="E6737" s="12" t="s">
        <v>46</v>
      </c>
      <c r="F6737" s="12" t="s">
        <v>47</v>
      </c>
    </row>
    <row r="6738" spans="1:6" x14ac:dyDescent="0.25">
      <c r="A6738" s="8">
        <v>14111514</v>
      </c>
      <c r="B6738" s="9" t="str">
        <f t="shared" ref="B6738:B6748" ca="1" si="147">IFERROR(INDEX(UNSPSCDes,MATCH(INDIRECT(ADDRESS(ROW(),COLUMN()-1,4)),UNSPSCCode,0)),"")</f>
        <v>Blocs o cuadernos de papel</v>
      </c>
      <c r="C6738" s="8" t="s">
        <v>55</v>
      </c>
      <c r="D6738" s="8">
        <v>2400</v>
      </c>
      <c r="E6738" s="11">
        <v>92.04</v>
      </c>
      <c r="F6738" s="10">
        <f t="shared" ref="F6738:F6748" ca="1" si="148">INDIRECT(ADDRESS(ROW(),COLUMN()-2,4))*INDIRECT(ADDRESS(ROW(),COLUMN()-1,4))</f>
        <v>220896.00000000003</v>
      </c>
    </row>
    <row r="6739" spans="1:6" x14ac:dyDescent="0.25">
      <c r="A6739" s="8">
        <v>44121706</v>
      </c>
      <c r="B6739" s="9" t="str">
        <f t="shared" ca="1" si="147"/>
        <v>Lápices de madera</v>
      </c>
      <c r="C6739" s="8" t="s">
        <v>49</v>
      </c>
      <c r="D6739" s="8">
        <v>100</v>
      </c>
      <c r="E6739" s="11">
        <v>88.6</v>
      </c>
      <c r="F6739" s="10">
        <f t="shared" ca="1" si="148"/>
        <v>8860</v>
      </c>
    </row>
    <row r="6740" spans="1:6" x14ac:dyDescent="0.25">
      <c r="A6740" s="8">
        <v>44121701</v>
      </c>
      <c r="B6740" s="9" t="str">
        <f t="shared" ca="1" si="147"/>
        <v>Bolígrafos</v>
      </c>
      <c r="C6740" s="33" t="s">
        <v>49</v>
      </c>
      <c r="D6740" s="8">
        <v>100</v>
      </c>
      <c r="E6740" s="11">
        <v>109.84</v>
      </c>
      <c r="F6740" s="10">
        <f t="shared" ca="1" si="148"/>
        <v>10984</v>
      </c>
    </row>
    <row r="6741" spans="1:6" x14ac:dyDescent="0.25">
      <c r="A6741" s="8">
        <v>53121603</v>
      </c>
      <c r="B6741" s="9" t="str">
        <f t="shared" ca="1" si="147"/>
        <v>Morrales</v>
      </c>
      <c r="C6741" s="33" t="s">
        <v>55</v>
      </c>
      <c r="D6741" s="8">
        <v>600</v>
      </c>
      <c r="E6741" s="11">
        <v>973.5</v>
      </c>
      <c r="F6741" s="10">
        <f t="shared" ca="1" si="148"/>
        <v>584100</v>
      </c>
    </row>
    <row r="6742" spans="1:6" x14ac:dyDescent="0.25">
      <c r="A6742" s="8">
        <v>44121804</v>
      </c>
      <c r="B6742" s="9" t="str">
        <f t="shared" ca="1" si="147"/>
        <v>Borradores</v>
      </c>
      <c r="C6742" s="33" t="s">
        <v>55</v>
      </c>
      <c r="D6742" s="8">
        <v>600</v>
      </c>
      <c r="E6742" s="11">
        <v>51.92</v>
      </c>
      <c r="F6742" s="10">
        <f t="shared" ca="1" si="148"/>
        <v>31152</v>
      </c>
    </row>
    <row r="6743" spans="1:6" x14ac:dyDescent="0.25">
      <c r="A6743" s="8">
        <v>44121619</v>
      </c>
      <c r="B6743" s="9" t="str">
        <f t="shared" ca="1" si="147"/>
        <v>Tajalápices manuales</v>
      </c>
      <c r="C6743" s="33" t="s">
        <v>55</v>
      </c>
      <c r="D6743" s="8">
        <v>600</v>
      </c>
      <c r="E6743" s="11">
        <v>23.6</v>
      </c>
      <c r="F6743" s="10">
        <f t="shared" ca="1" si="148"/>
        <v>14160</v>
      </c>
    </row>
    <row r="6744" spans="1:6" x14ac:dyDescent="0.25">
      <c r="A6744" s="8">
        <v>44111509</v>
      </c>
      <c r="B6744" s="9" t="str">
        <f t="shared" ca="1" si="147"/>
        <v>Sujetadores de esferos o lápices</v>
      </c>
      <c r="C6744" s="33" t="s">
        <v>55</v>
      </c>
      <c r="D6744" s="8">
        <v>600</v>
      </c>
      <c r="E6744" s="11">
        <v>135.69999999999999</v>
      </c>
      <c r="F6744" s="10">
        <f t="shared" ca="1" si="148"/>
        <v>81420</v>
      </c>
    </row>
    <row r="6745" spans="1:6" x14ac:dyDescent="0.25">
      <c r="A6745" s="8">
        <v>52152002</v>
      </c>
      <c r="B6745" s="9" t="str">
        <f t="shared" ca="1" si="147"/>
        <v>Contenedores para almacenar alimentos para uso doméstico</v>
      </c>
      <c r="C6745" s="33" t="s">
        <v>55</v>
      </c>
      <c r="D6745" s="8">
        <v>600</v>
      </c>
      <c r="E6745" s="11">
        <v>722.75</v>
      </c>
      <c r="F6745" s="10">
        <f t="shared" ca="1" si="148"/>
        <v>433650</v>
      </c>
    </row>
    <row r="6746" spans="1:6" x14ac:dyDescent="0.25">
      <c r="A6746" s="8">
        <v>44111803</v>
      </c>
      <c r="B6746" s="9" t="str">
        <f t="shared" ca="1" si="147"/>
        <v>Compases</v>
      </c>
      <c r="C6746" s="33" t="s">
        <v>55</v>
      </c>
      <c r="D6746" s="8">
        <v>600</v>
      </c>
      <c r="E6746" s="11">
        <v>45.78</v>
      </c>
      <c r="F6746" s="10">
        <f t="shared" ca="1" si="148"/>
        <v>27468</v>
      </c>
    </row>
    <row r="6747" spans="1:6" x14ac:dyDescent="0.25">
      <c r="A6747" s="8">
        <v>44111812</v>
      </c>
      <c r="B6747" s="9" t="str">
        <f t="shared" ca="1" si="147"/>
        <v>Kits o sets de dibujo</v>
      </c>
      <c r="C6747" s="33" t="s">
        <v>55</v>
      </c>
      <c r="D6747" s="8">
        <v>600</v>
      </c>
      <c r="E6747" s="11">
        <v>37.909999999999997</v>
      </c>
      <c r="F6747" s="10">
        <f t="shared" ca="1" si="148"/>
        <v>22745.999999999996</v>
      </c>
    </row>
    <row r="6748" spans="1:6" x14ac:dyDescent="0.25">
      <c r="A6748" s="8">
        <v>44121707</v>
      </c>
      <c r="B6748" s="9" t="str">
        <f t="shared" ca="1" si="147"/>
        <v>Lápices de colores</v>
      </c>
      <c r="C6748" s="33" t="s">
        <v>49</v>
      </c>
      <c r="D6748" s="8">
        <v>600</v>
      </c>
      <c r="E6748" s="11">
        <v>107.43</v>
      </c>
      <c r="F6748" s="10">
        <f t="shared" ca="1" si="148"/>
        <v>64458.000000000007</v>
      </c>
    </row>
    <row r="6749" spans="1:6" x14ac:dyDescent="0.25">
      <c r="A6749" s="40"/>
      <c r="B6749" s="40"/>
      <c r="C6749" s="40"/>
      <c r="D6749" s="40"/>
      <c r="E6749" s="13" t="s">
        <v>87</v>
      </c>
      <c r="F6749" s="14">
        <f ca="1">SUM(Table3131299[MONTO TOTAL ESTIMADO])</f>
        <v>1499894</v>
      </c>
    </row>
    <row r="6750" spans="1:6" ht="15.75" thickBot="1" x14ac:dyDescent="0.3">
      <c r="A6750" s="42"/>
      <c r="B6750" s="42"/>
      <c r="C6750" s="42"/>
      <c r="D6750" s="42"/>
      <c r="E6750" s="42"/>
      <c r="F6750" s="42"/>
    </row>
    <row r="6751" spans="1:6" ht="23.25" thickBot="1" x14ac:dyDescent="0.3">
      <c r="A6751" s="4" t="s">
        <v>19</v>
      </c>
      <c r="B6751" s="4" t="s">
        <v>20</v>
      </c>
      <c r="C6751" s="4" t="s">
        <v>21</v>
      </c>
      <c r="D6751" s="4" t="s">
        <v>22</v>
      </c>
      <c r="E6751" s="4" t="s">
        <v>23</v>
      </c>
      <c r="F6751" s="4" t="s">
        <v>24</v>
      </c>
    </row>
    <row r="6752" spans="1:6" ht="15.75" thickBot="1" x14ac:dyDescent="0.3">
      <c r="A6752" s="32" t="s">
        <v>496</v>
      </c>
      <c r="B6752" s="32" t="s">
        <v>497</v>
      </c>
      <c r="C6752" s="32" t="s">
        <v>129</v>
      </c>
      <c r="D6752" s="6" t="s">
        <v>28</v>
      </c>
      <c r="E6752" s="6" t="s">
        <v>262</v>
      </c>
      <c r="F6752" s="6"/>
    </row>
    <row r="6753" spans="1:6" ht="15.75" thickBot="1" x14ac:dyDescent="0.3">
      <c r="A6753" s="35" t="s">
        <v>31</v>
      </c>
      <c r="B6753" s="7" t="s">
        <v>32</v>
      </c>
      <c r="C6753" s="15">
        <v>45566</v>
      </c>
      <c r="D6753" s="35" t="s">
        <v>33</v>
      </c>
      <c r="E6753" s="7" t="s">
        <v>34</v>
      </c>
      <c r="F6753" s="6"/>
    </row>
    <row r="6754" spans="1:6" ht="15.75" thickBot="1" x14ac:dyDescent="0.3">
      <c r="A6754" s="36"/>
      <c r="B6754" s="7" t="s">
        <v>36</v>
      </c>
      <c r="C6754" s="5">
        <f>IF(C6753="","",IF(AND(MONTH(C6753)&gt;=1,MONTH(C6753)&lt;=3),1,IF(AND(MONTH(C6753)&gt;=4,MONTH(C6753)&lt;=6),2,IF(AND(MONTH(C6753)&gt;=7,MONTH(C6753)&lt;=9),3,4))))</f>
        <v>4</v>
      </c>
      <c r="D6754" s="36"/>
      <c r="E6754" s="7" t="s">
        <v>37</v>
      </c>
      <c r="F6754" s="6"/>
    </row>
    <row r="6755" spans="1:6" ht="15.75" thickBot="1" x14ac:dyDescent="0.3">
      <c r="A6755" s="36"/>
      <c r="B6755" s="7" t="s">
        <v>39</v>
      </c>
      <c r="C6755" s="15">
        <v>45656</v>
      </c>
      <c r="D6755" s="36"/>
      <c r="E6755" s="7" t="s">
        <v>40</v>
      </c>
      <c r="F6755" s="6"/>
    </row>
    <row r="6756" spans="1:6" ht="15.75" thickBot="1" x14ac:dyDescent="0.3">
      <c r="A6756" s="36"/>
      <c r="B6756" s="7" t="s">
        <v>36</v>
      </c>
      <c r="C6756" s="5">
        <f>IF(C6755="","",IF(AND(MONTH(C6755)&gt;=1,MONTH(C6755)&lt;=3),1,IF(AND(MONTH(C6755)&gt;=4,MONTH(C6755)&lt;=6),2,IF(AND(MONTH(C6755)&gt;=7,MONTH(C6755)&lt;=9),3,4))))</f>
        <v>4</v>
      </c>
      <c r="D6756" s="36"/>
      <c r="E6756" s="7" t="s">
        <v>41</v>
      </c>
      <c r="F6756" s="6"/>
    </row>
    <row r="6757" spans="1:6" ht="15.75" thickBot="1" x14ac:dyDescent="0.3">
      <c r="A6757" s="40"/>
      <c r="B6757" s="40"/>
      <c r="C6757" s="40"/>
      <c r="D6757" s="40"/>
      <c r="E6757" s="40"/>
      <c r="F6757" s="40"/>
    </row>
    <row r="6758" spans="1:6" ht="15.75" thickBot="1" x14ac:dyDescent="0.3">
      <c r="A6758" s="12" t="s">
        <v>42</v>
      </c>
      <c r="B6758" s="12" t="s">
        <v>43</v>
      </c>
      <c r="C6758" s="12" t="s">
        <v>44</v>
      </c>
      <c r="D6758" s="12" t="s">
        <v>45</v>
      </c>
      <c r="E6758" s="12" t="s">
        <v>46</v>
      </c>
      <c r="F6758" s="12" t="s">
        <v>47</v>
      </c>
    </row>
    <row r="6759" spans="1:6" x14ac:dyDescent="0.25">
      <c r="A6759" s="8">
        <v>73151606</v>
      </c>
      <c r="B6759" s="9" t="str">
        <f ca="1">IFERROR(INDEX(UNSPSCDes,MATCH(INDIRECT(ADDRESS(ROW(),COLUMN()-1,4)),UNSPSCCode,0)),"")</f>
        <v>Servicios de empacado a mano</v>
      </c>
      <c r="C6759" s="33" t="s">
        <v>55</v>
      </c>
      <c r="D6759" s="8">
        <v>1</v>
      </c>
      <c r="E6759" s="11">
        <v>1600000</v>
      </c>
      <c r="F6759" s="10">
        <f ca="1">INDIRECT(ADDRESS(ROW(),COLUMN()-2,4))*INDIRECT(ADDRESS(ROW(),COLUMN()-1,4))</f>
        <v>1600000</v>
      </c>
    </row>
    <row r="6760" spans="1:6" x14ac:dyDescent="0.25">
      <c r="A6760" s="40"/>
      <c r="B6760" s="40"/>
      <c r="C6760" s="40"/>
      <c r="D6760" s="40"/>
      <c r="E6760" s="13" t="s">
        <v>87</v>
      </c>
      <c r="F6760" s="14">
        <f ca="1">SUM(Table3132300[MONTO TOTAL ESTIMADO])</f>
        <v>1600000</v>
      </c>
    </row>
    <row r="6761" spans="1:6" ht="15.75" thickBot="1" x14ac:dyDescent="0.3">
      <c r="A6761" s="42"/>
      <c r="B6761" s="42"/>
      <c r="C6761" s="42"/>
      <c r="D6761" s="42"/>
      <c r="E6761" s="42"/>
      <c r="F6761" s="42"/>
    </row>
    <row r="6762" spans="1:6" ht="23.25" thickBot="1" x14ac:dyDescent="0.3">
      <c r="A6762" s="4" t="s">
        <v>19</v>
      </c>
      <c r="B6762" s="4" t="s">
        <v>20</v>
      </c>
      <c r="C6762" s="4" t="s">
        <v>21</v>
      </c>
      <c r="D6762" s="4" t="s">
        <v>22</v>
      </c>
      <c r="E6762" s="4" t="s">
        <v>23</v>
      </c>
      <c r="F6762" s="4" t="s">
        <v>24</v>
      </c>
    </row>
    <row r="6763" spans="1:6" ht="15.75" thickBot="1" x14ac:dyDescent="0.3">
      <c r="A6763" s="32" t="s">
        <v>489</v>
      </c>
      <c r="B6763" s="32" t="s">
        <v>490</v>
      </c>
      <c r="C6763" s="32" t="s">
        <v>27</v>
      </c>
      <c r="D6763" s="6" t="s">
        <v>28</v>
      </c>
      <c r="E6763" s="6" t="s">
        <v>262</v>
      </c>
      <c r="F6763" s="6"/>
    </row>
    <row r="6764" spans="1:6" ht="15.75" thickBot="1" x14ac:dyDescent="0.3">
      <c r="A6764" s="35" t="s">
        <v>31</v>
      </c>
      <c r="B6764" s="7" t="s">
        <v>32</v>
      </c>
      <c r="C6764" s="15">
        <v>45566</v>
      </c>
      <c r="D6764" s="35" t="s">
        <v>33</v>
      </c>
      <c r="E6764" s="7" t="s">
        <v>34</v>
      </c>
      <c r="F6764" s="6"/>
    </row>
    <row r="6765" spans="1:6" ht="15.75" thickBot="1" x14ac:dyDescent="0.3">
      <c r="A6765" s="36"/>
      <c r="B6765" s="7" t="s">
        <v>36</v>
      </c>
      <c r="C6765" s="5">
        <f>IF(C6764="","",IF(AND(MONTH(C6764)&gt;=1,MONTH(C6764)&lt;=3),1,IF(AND(MONTH(C6764)&gt;=4,MONTH(C6764)&lt;=6),2,IF(AND(MONTH(C6764)&gt;=7,MONTH(C6764)&lt;=9),3,4))))</f>
        <v>4</v>
      </c>
      <c r="D6765" s="36"/>
      <c r="E6765" s="7" t="s">
        <v>37</v>
      </c>
      <c r="F6765" s="6"/>
    </row>
    <row r="6766" spans="1:6" ht="15.75" thickBot="1" x14ac:dyDescent="0.3">
      <c r="A6766" s="36"/>
      <c r="B6766" s="7" t="s">
        <v>39</v>
      </c>
      <c r="C6766" s="15">
        <v>45656</v>
      </c>
      <c r="D6766" s="36"/>
      <c r="E6766" s="7" t="s">
        <v>40</v>
      </c>
      <c r="F6766" s="6"/>
    </row>
    <row r="6767" spans="1:6" ht="15.75" thickBot="1" x14ac:dyDescent="0.3">
      <c r="A6767" s="36"/>
      <c r="B6767" s="7" t="s">
        <v>36</v>
      </c>
      <c r="C6767" s="5">
        <f>IF(C6766="","",IF(AND(MONTH(C6766)&gt;=1,MONTH(C6766)&lt;=3),1,IF(AND(MONTH(C6766)&gt;=4,MONTH(C6766)&lt;=6),2,IF(AND(MONTH(C6766)&gt;=7,MONTH(C6766)&lt;=9),3,4))))</f>
        <v>4</v>
      </c>
      <c r="D6767" s="36"/>
      <c r="E6767" s="7" t="s">
        <v>41</v>
      </c>
      <c r="F6767" s="6"/>
    </row>
    <row r="6768" spans="1:6" ht="15.75" thickBot="1" x14ac:dyDescent="0.3">
      <c r="A6768" s="40"/>
      <c r="B6768" s="40"/>
      <c r="C6768" s="40"/>
      <c r="D6768" s="40"/>
      <c r="E6768" s="40"/>
      <c r="F6768" s="40"/>
    </row>
    <row r="6769" spans="1:6" ht="15.75" thickBot="1" x14ac:dyDescent="0.3">
      <c r="A6769" s="12" t="s">
        <v>42</v>
      </c>
      <c r="B6769" s="12" t="s">
        <v>43</v>
      </c>
      <c r="C6769" s="12" t="s">
        <v>44</v>
      </c>
      <c r="D6769" s="12" t="s">
        <v>45</v>
      </c>
      <c r="E6769" s="12" t="s">
        <v>46</v>
      </c>
      <c r="F6769" s="12" t="s">
        <v>47</v>
      </c>
    </row>
    <row r="6770" spans="1:6" x14ac:dyDescent="0.25">
      <c r="A6770" s="8">
        <v>14111514</v>
      </c>
      <c r="B6770" s="9" t="str">
        <f t="shared" ref="B6770:B6780" ca="1" si="149">IFERROR(INDEX(UNSPSCDes,MATCH(INDIRECT(ADDRESS(ROW(),COLUMN()-1,4)),UNSPSCCode,0)),"")</f>
        <v>Blocs o cuadernos de papel</v>
      </c>
      <c r="C6770" s="33" t="s">
        <v>55</v>
      </c>
      <c r="D6770" s="8">
        <v>2400</v>
      </c>
      <c r="E6770" s="11">
        <v>92.04</v>
      </c>
      <c r="F6770" s="10">
        <f t="shared" ref="F6770:F6780" ca="1" si="150">INDIRECT(ADDRESS(ROW(),COLUMN()-2,4))*INDIRECT(ADDRESS(ROW(),COLUMN()-1,4))</f>
        <v>220896.00000000003</v>
      </c>
    </row>
    <row r="6771" spans="1:6" x14ac:dyDescent="0.25">
      <c r="A6771" s="8">
        <v>44121706</v>
      </c>
      <c r="B6771" s="9" t="str">
        <f t="shared" ca="1" si="149"/>
        <v>Lápices de madera</v>
      </c>
      <c r="C6771" s="33" t="s">
        <v>49</v>
      </c>
      <c r="D6771" s="8">
        <v>100</v>
      </c>
      <c r="E6771" s="11">
        <v>88.6</v>
      </c>
      <c r="F6771" s="10">
        <f t="shared" ca="1" si="150"/>
        <v>8860</v>
      </c>
    </row>
    <row r="6772" spans="1:6" x14ac:dyDescent="0.25">
      <c r="A6772" s="8">
        <v>44121701</v>
      </c>
      <c r="B6772" s="9" t="str">
        <f t="shared" ca="1" si="149"/>
        <v>Bolígrafos</v>
      </c>
      <c r="C6772" s="33" t="s">
        <v>49</v>
      </c>
      <c r="D6772" s="8">
        <v>100</v>
      </c>
      <c r="E6772" s="11">
        <v>109.84</v>
      </c>
      <c r="F6772" s="10">
        <f t="shared" ca="1" si="150"/>
        <v>10984</v>
      </c>
    </row>
    <row r="6773" spans="1:6" x14ac:dyDescent="0.25">
      <c r="A6773" s="8">
        <v>53121603</v>
      </c>
      <c r="B6773" s="9" t="str">
        <f t="shared" ca="1" si="149"/>
        <v>Morrales</v>
      </c>
      <c r="C6773" s="33" t="s">
        <v>55</v>
      </c>
      <c r="D6773" s="8">
        <v>600</v>
      </c>
      <c r="E6773" s="11">
        <v>973.5</v>
      </c>
      <c r="F6773" s="10">
        <f t="shared" ca="1" si="150"/>
        <v>584100</v>
      </c>
    </row>
    <row r="6774" spans="1:6" x14ac:dyDescent="0.25">
      <c r="A6774" s="8">
        <v>44121804</v>
      </c>
      <c r="B6774" s="9" t="str">
        <f t="shared" ca="1" si="149"/>
        <v>Borradores</v>
      </c>
      <c r="C6774" s="33" t="s">
        <v>55</v>
      </c>
      <c r="D6774" s="8">
        <v>600</v>
      </c>
      <c r="E6774" s="11">
        <v>51.92</v>
      </c>
      <c r="F6774" s="10">
        <f t="shared" ca="1" si="150"/>
        <v>31152</v>
      </c>
    </row>
    <row r="6775" spans="1:6" x14ac:dyDescent="0.25">
      <c r="A6775" s="8">
        <v>44121619</v>
      </c>
      <c r="B6775" s="9" t="str">
        <f t="shared" ca="1" si="149"/>
        <v>Tajalápices manuales</v>
      </c>
      <c r="C6775" s="33" t="s">
        <v>55</v>
      </c>
      <c r="D6775" s="8">
        <v>600</v>
      </c>
      <c r="E6775" s="11">
        <v>23.6</v>
      </c>
      <c r="F6775" s="10">
        <f t="shared" ca="1" si="150"/>
        <v>14160</v>
      </c>
    </row>
    <row r="6776" spans="1:6" x14ac:dyDescent="0.25">
      <c r="A6776" s="8">
        <v>44111509</v>
      </c>
      <c r="B6776" s="9" t="str">
        <f t="shared" ca="1" si="149"/>
        <v>Sujetadores de esferos o lápices</v>
      </c>
      <c r="C6776" s="33" t="s">
        <v>55</v>
      </c>
      <c r="D6776" s="8">
        <v>600</v>
      </c>
      <c r="E6776" s="11">
        <v>135.69999999999999</v>
      </c>
      <c r="F6776" s="10">
        <f t="shared" ca="1" si="150"/>
        <v>81420</v>
      </c>
    </row>
    <row r="6777" spans="1:6" x14ac:dyDescent="0.25">
      <c r="A6777" s="8">
        <v>52152002</v>
      </c>
      <c r="B6777" s="9" t="str">
        <f t="shared" ca="1" si="149"/>
        <v>Contenedores para almacenar alimentos para uso doméstico</v>
      </c>
      <c r="C6777" s="33" t="s">
        <v>55</v>
      </c>
      <c r="D6777" s="8">
        <v>600</v>
      </c>
      <c r="E6777" s="11">
        <v>722.75</v>
      </c>
      <c r="F6777" s="10">
        <f t="shared" ca="1" si="150"/>
        <v>433650</v>
      </c>
    </row>
    <row r="6778" spans="1:6" x14ac:dyDescent="0.25">
      <c r="A6778" s="8">
        <v>44111803</v>
      </c>
      <c r="B6778" s="9" t="str">
        <f t="shared" ca="1" si="149"/>
        <v>Compases</v>
      </c>
      <c r="C6778" s="33" t="s">
        <v>55</v>
      </c>
      <c r="D6778" s="8">
        <v>600</v>
      </c>
      <c r="E6778" s="11">
        <v>45.78</v>
      </c>
      <c r="F6778" s="10">
        <f t="shared" ca="1" si="150"/>
        <v>27468</v>
      </c>
    </row>
    <row r="6779" spans="1:6" x14ac:dyDescent="0.25">
      <c r="A6779" s="8">
        <v>44111812</v>
      </c>
      <c r="B6779" s="9" t="str">
        <f t="shared" ca="1" si="149"/>
        <v>Kits o sets de dibujo</v>
      </c>
      <c r="C6779" s="33" t="s">
        <v>55</v>
      </c>
      <c r="D6779" s="8">
        <v>600</v>
      </c>
      <c r="E6779" s="11">
        <v>37.909999999999997</v>
      </c>
      <c r="F6779" s="10">
        <f t="shared" ca="1" si="150"/>
        <v>22745.999999999996</v>
      </c>
    </row>
    <row r="6780" spans="1:6" x14ac:dyDescent="0.25">
      <c r="A6780" s="8">
        <v>44121707</v>
      </c>
      <c r="B6780" s="9" t="str">
        <f t="shared" ca="1" si="149"/>
        <v>Lápices de colores</v>
      </c>
      <c r="C6780" s="33" t="s">
        <v>49</v>
      </c>
      <c r="D6780" s="8">
        <v>600</v>
      </c>
      <c r="E6780" s="11">
        <v>107.43</v>
      </c>
      <c r="F6780" s="10">
        <f t="shared" ca="1" si="150"/>
        <v>64458.000000000007</v>
      </c>
    </row>
    <row r="6781" spans="1:6" x14ac:dyDescent="0.25">
      <c r="A6781" s="40"/>
      <c r="B6781" s="40"/>
      <c r="C6781" s="40"/>
      <c r="D6781" s="40"/>
      <c r="E6781" s="13" t="s">
        <v>87</v>
      </c>
      <c r="F6781" s="14">
        <f ca="1">SUM(Table3133301[MONTO TOTAL ESTIMADO])</f>
        <v>1499894</v>
      </c>
    </row>
    <row r="6782" spans="1:6" ht="15.75" thickBot="1" x14ac:dyDescent="0.3">
      <c r="A6782" s="42"/>
      <c r="B6782" s="42"/>
      <c r="C6782" s="42"/>
      <c r="D6782" s="42"/>
      <c r="E6782" s="42"/>
      <c r="F6782" s="42"/>
    </row>
    <row r="6783" spans="1:6" ht="23.25" thickBot="1" x14ac:dyDescent="0.3">
      <c r="A6783" s="4" t="s">
        <v>19</v>
      </c>
      <c r="B6783" s="4" t="s">
        <v>20</v>
      </c>
      <c r="C6783" s="4" t="s">
        <v>21</v>
      </c>
      <c r="D6783" s="4" t="s">
        <v>22</v>
      </c>
      <c r="E6783" s="4" t="s">
        <v>23</v>
      </c>
      <c r="F6783" s="4" t="s">
        <v>24</v>
      </c>
    </row>
    <row r="6784" spans="1:6" ht="15.75" thickBot="1" x14ac:dyDescent="0.3">
      <c r="A6784" s="32" t="s">
        <v>462</v>
      </c>
      <c r="B6784" s="32" t="s">
        <v>463</v>
      </c>
      <c r="C6784" s="32" t="s">
        <v>27</v>
      </c>
      <c r="D6784" s="6" t="s">
        <v>28</v>
      </c>
      <c r="E6784" s="6" t="s">
        <v>262</v>
      </c>
      <c r="F6784" s="6"/>
    </row>
    <row r="6785" spans="1:6" ht="15.75" thickBot="1" x14ac:dyDescent="0.3">
      <c r="A6785" s="35" t="s">
        <v>31</v>
      </c>
      <c r="B6785" s="7" t="s">
        <v>32</v>
      </c>
      <c r="C6785" s="15">
        <v>45566</v>
      </c>
      <c r="D6785" s="35" t="s">
        <v>33</v>
      </c>
      <c r="E6785" s="7" t="s">
        <v>34</v>
      </c>
      <c r="F6785" s="6"/>
    </row>
    <row r="6786" spans="1:6" ht="15.75" thickBot="1" x14ac:dyDescent="0.3">
      <c r="A6786" s="36"/>
      <c r="B6786" s="7" t="s">
        <v>36</v>
      </c>
      <c r="C6786" s="5">
        <f>IF(C6785="","",IF(AND(MONTH(C6785)&gt;=1,MONTH(C6785)&lt;=3),1,IF(AND(MONTH(C6785)&gt;=4,MONTH(C6785)&lt;=6),2,IF(AND(MONTH(C6785)&gt;=7,MONTH(C6785)&lt;=9),3,4))))</f>
        <v>4</v>
      </c>
      <c r="D6786" s="36"/>
      <c r="E6786" s="7" t="s">
        <v>37</v>
      </c>
      <c r="F6786" s="6"/>
    </row>
    <row r="6787" spans="1:6" ht="15.75" thickBot="1" x14ac:dyDescent="0.3">
      <c r="A6787" s="36"/>
      <c r="B6787" s="7" t="s">
        <v>39</v>
      </c>
      <c r="C6787" s="15">
        <v>45656</v>
      </c>
      <c r="D6787" s="36"/>
      <c r="E6787" s="7" t="s">
        <v>40</v>
      </c>
      <c r="F6787" s="6"/>
    </row>
    <row r="6788" spans="1:6" ht="15.75" thickBot="1" x14ac:dyDescent="0.3">
      <c r="A6788" s="36"/>
      <c r="B6788" s="7" t="s">
        <v>36</v>
      </c>
      <c r="C6788" s="5">
        <f>IF(C6787="","",IF(AND(MONTH(C6787)&gt;=1,MONTH(C6787)&lt;=3),1,IF(AND(MONTH(C6787)&gt;=4,MONTH(C6787)&lt;=6),2,IF(AND(MONTH(C6787)&gt;=7,MONTH(C6787)&lt;=9),3,4))))</f>
        <v>4</v>
      </c>
      <c r="D6788" s="36"/>
      <c r="E6788" s="7" t="s">
        <v>41</v>
      </c>
      <c r="F6788" s="6"/>
    </row>
    <row r="6789" spans="1:6" ht="15.75" thickBot="1" x14ac:dyDescent="0.3">
      <c r="A6789" s="40"/>
      <c r="B6789" s="40"/>
      <c r="C6789" s="40"/>
      <c r="D6789" s="40"/>
      <c r="E6789" s="40"/>
      <c r="F6789" s="40"/>
    </row>
    <row r="6790" spans="1:6" ht="15.75" thickBot="1" x14ac:dyDescent="0.3">
      <c r="A6790" s="12" t="s">
        <v>42</v>
      </c>
      <c r="B6790" s="12" t="s">
        <v>43</v>
      </c>
      <c r="C6790" s="12" t="s">
        <v>44</v>
      </c>
      <c r="D6790" s="12" t="s">
        <v>45</v>
      </c>
      <c r="E6790" s="12" t="s">
        <v>46</v>
      </c>
      <c r="F6790" s="12" t="s">
        <v>47</v>
      </c>
    </row>
    <row r="6791" spans="1:6" x14ac:dyDescent="0.25">
      <c r="A6791" s="8">
        <v>50161509</v>
      </c>
      <c r="B6791" s="9" t="str">
        <f t="shared" ref="B6791:B6804" ca="1" si="151">IFERROR(INDEX(UNSPSCDes,MATCH(INDIRECT(ADDRESS(ROW(),COLUMN()-1,4)),UNSPSCCode,0)),"")</f>
        <v>Azucares naturales o productos endulzantes</v>
      </c>
      <c r="C6791" s="8" t="s">
        <v>74</v>
      </c>
      <c r="D6791" s="8">
        <v>500</v>
      </c>
      <c r="E6791" s="11">
        <v>83.78</v>
      </c>
      <c r="F6791" s="10">
        <f t="shared" ref="F6791:F6804" ca="1" si="152">INDIRECT(ADDRESS(ROW(),COLUMN()-2,4))*INDIRECT(ADDRESS(ROW(),COLUMN()-1,4))</f>
        <v>41890</v>
      </c>
    </row>
    <row r="6792" spans="1:6" x14ac:dyDescent="0.25">
      <c r="A6792" s="8">
        <v>50221101</v>
      </c>
      <c r="B6792" s="9" t="str">
        <f t="shared" ca="1" si="151"/>
        <v>Grano de cereal</v>
      </c>
      <c r="C6792" s="33" t="s">
        <v>74</v>
      </c>
      <c r="D6792" s="8">
        <v>500</v>
      </c>
      <c r="E6792" s="11">
        <v>231.38</v>
      </c>
      <c r="F6792" s="10">
        <f t="shared" ca="1" si="152"/>
        <v>115690</v>
      </c>
    </row>
    <row r="6793" spans="1:6" x14ac:dyDescent="0.25">
      <c r="A6793" s="8">
        <v>50151513</v>
      </c>
      <c r="B6793" s="9" t="str">
        <f t="shared" ca="1" si="151"/>
        <v>Aceites vegetales o  de planta comestibles</v>
      </c>
      <c r="C6793" s="33" t="s">
        <v>55</v>
      </c>
      <c r="D6793" s="8">
        <v>500</v>
      </c>
      <c r="E6793" s="11">
        <v>132.16</v>
      </c>
      <c r="F6793" s="10">
        <f t="shared" ca="1" si="152"/>
        <v>66080</v>
      </c>
    </row>
    <row r="6794" spans="1:6" x14ac:dyDescent="0.25">
      <c r="A6794" s="8">
        <v>50192111</v>
      </c>
      <c r="B6794" s="9" t="str">
        <f t="shared" ca="1" si="151"/>
        <v>Carne seca o procesada</v>
      </c>
      <c r="C6794" s="33" t="s">
        <v>55</v>
      </c>
      <c r="D6794" s="8">
        <v>500</v>
      </c>
      <c r="E6794" s="11">
        <v>619.5</v>
      </c>
      <c r="F6794" s="10">
        <f t="shared" ca="1" si="152"/>
        <v>309750</v>
      </c>
    </row>
    <row r="6795" spans="1:6" x14ac:dyDescent="0.25">
      <c r="A6795" s="8">
        <v>50201706</v>
      </c>
      <c r="B6795" s="9" t="str">
        <f t="shared" ca="1" si="151"/>
        <v>Café</v>
      </c>
      <c r="C6795" s="33" t="s">
        <v>74</v>
      </c>
      <c r="D6795" s="8">
        <v>500</v>
      </c>
      <c r="E6795" s="11">
        <v>188.8</v>
      </c>
      <c r="F6795" s="10">
        <f t="shared" ca="1" si="152"/>
        <v>94400</v>
      </c>
    </row>
    <row r="6796" spans="1:6" x14ac:dyDescent="0.25">
      <c r="A6796" s="8">
        <v>50171831</v>
      </c>
      <c r="B6796" s="9" t="str">
        <f t="shared" ca="1" si="151"/>
        <v>Salsas para cocinar</v>
      </c>
      <c r="C6796" s="33" t="s">
        <v>55</v>
      </c>
      <c r="D6796" s="8">
        <v>500</v>
      </c>
      <c r="E6796" s="11">
        <v>105.2</v>
      </c>
      <c r="F6796" s="10">
        <f t="shared" ca="1" si="152"/>
        <v>52600</v>
      </c>
    </row>
    <row r="6797" spans="1:6" x14ac:dyDescent="0.25">
      <c r="A6797" s="8">
        <v>50121538</v>
      </c>
      <c r="B6797" s="9" t="str">
        <f t="shared" ca="1" si="151"/>
        <v>Pescado almacenado en repisa</v>
      </c>
      <c r="C6797" s="33" t="s">
        <v>55</v>
      </c>
      <c r="D6797" s="8">
        <v>500</v>
      </c>
      <c r="E6797" s="11">
        <v>142.78</v>
      </c>
      <c r="F6797" s="10">
        <f t="shared" ca="1" si="152"/>
        <v>71390</v>
      </c>
    </row>
    <row r="6798" spans="1:6" x14ac:dyDescent="0.25">
      <c r="A6798" s="8">
        <v>50192902</v>
      </c>
      <c r="B6798" s="9" t="str">
        <f t="shared" ca="1" si="151"/>
        <v>Pasta o fideos de repisa</v>
      </c>
      <c r="C6798" s="33" t="s">
        <v>55</v>
      </c>
      <c r="D6798" s="8">
        <v>500</v>
      </c>
      <c r="E6798" s="11">
        <v>48.38</v>
      </c>
      <c r="F6798" s="10">
        <f t="shared" ca="1" si="152"/>
        <v>24190</v>
      </c>
    </row>
    <row r="6799" spans="1:6" x14ac:dyDescent="0.25">
      <c r="A6799" s="8">
        <v>50101543</v>
      </c>
      <c r="B6799" s="9" t="str">
        <f t="shared" ca="1" si="151"/>
        <v>Judías secas</v>
      </c>
      <c r="C6799" s="33" t="s">
        <v>55</v>
      </c>
      <c r="D6799" s="8">
        <v>500</v>
      </c>
      <c r="E6799" s="11">
        <v>178.18</v>
      </c>
      <c r="F6799" s="10">
        <f t="shared" ca="1" si="152"/>
        <v>89090</v>
      </c>
    </row>
    <row r="6800" spans="1:6" x14ac:dyDescent="0.25">
      <c r="A6800" s="8">
        <v>50131701</v>
      </c>
      <c r="B6800" s="9" t="str">
        <f t="shared" ca="1" si="151"/>
        <v>Productos de leche o mantequilla frescos</v>
      </c>
      <c r="C6800" s="33" t="s">
        <v>55</v>
      </c>
      <c r="D6800" s="8">
        <v>500</v>
      </c>
      <c r="E6800" s="11">
        <v>384.68</v>
      </c>
      <c r="F6800" s="10">
        <f t="shared" ca="1" si="152"/>
        <v>192340</v>
      </c>
    </row>
    <row r="6801" spans="1:6" x14ac:dyDescent="0.25">
      <c r="A6801" s="8">
        <v>50121538</v>
      </c>
      <c r="B6801" s="9" t="str">
        <f t="shared" ca="1" si="151"/>
        <v>Pescado almacenado en repisa</v>
      </c>
      <c r="C6801" s="33" t="s">
        <v>55</v>
      </c>
      <c r="D6801" s="8">
        <v>500</v>
      </c>
      <c r="E6801" s="11">
        <v>148.68</v>
      </c>
      <c r="F6801" s="10">
        <f t="shared" ca="1" si="152"/>
        <v>74340</v>
      </c>
    </row>
    <row r="6802" spans="1:6" x14ac:dyDescent="0.25">
      <c r="A6802" s="8">
        <v>50101542</v>
      </c>
      <c r="B6802" s="9" t="str">
        <f t="shared" ca="1" si="151"/>
        <v>Harina vegetal</v>
      </c>
      <c r="C6802" s="33" t="s">
        <v>55</v>
      </c>
      <c r="D6802" s="8">
        <v>500</v>
      </c>
      <c r="E6802" s="11">
        <v>34.22</v>
      </c>
      <c r="F6802" s="10">
        <f t="shared" ca="1" si="152"/>
        <v>17110</v>
      </c>
    </row>
    <row r="6803" spans="1:6" x14ac:dyDescent="0.25">
      <c r="A6803" s="8">
        <v>50161511</v>
      </c>
      <c r="B6803" s="9" t="str">
        <f t="shared" ca="1" si="151"/>
        <v>Chocolate o sustituto de chocolate</v>
      </c>
      <c r="C6803" s="33" t="s">
        <v>55</v>
      </c>
      <c r="D6803" s="8">
        <v>500</v>
      </c>
      <c r="E6803" s="11">
        <v>112.1</v>
      </c>
      <c r="F6803" s="10">
        <f t="shared" ca="1" si="152"/>
        <v>56050</v>
      </c>
    </row>
    <row r="6804" spans="1:6" x14ac:dyDescent="0.25">
      <c r="A6804" s="8">
        <v>50221101</v>
      </c>
      <c r="B6804" s="9" t="str">
        <f t="shared" ca="1" si="151"/>
        <v>Grano de cereal</v>
      </c>
      <c r="C6804" s="33" t="s">
        <v>55</v>
      </c>
      <c r="D6804" s="8">
        <v>500</v>
      </c>
      <c r="E6804" s="11">
        <v>113.28</v>
      </c>
      <c r="F6804" s="10">
        <f t="shared" ca="1" si="152"/>
        <v>56640</v>
      </c>
    </row>
    <row r="6805" spans="1:6" x14ac:dyDescent="0.25">
      <c r="A6805" s="40"/>
      <c r="B6805" s="40"/>
      <c r="C6805" s="40"/>
      <c r="D6805" s="40"/>
      <c r="E6805" s="13" t="s">
        <v>87</v>
      </c>
      <c r="F6805" s="14">
        <f ca="1">SUM(Table3134302[MONTO TOTAL ESTIMADO])</f>
        <v>1261560</v>
      </c>
    </row>
    <row r="6806" spans="1:6" ht="15.75" thickBot="1" x14ac:dyDescent="0.3">
      <c r="A6806" s="42"/>
      <c r="B6806" s="42"/>
      <c r="C6806" s="42"/>
      <c r="D6806" s="42"/>
      <c r="E6806" s="42"/>
      <c r="F6806" s="42"/>
    </row>
    <row r="6807" spans="1:6" ht="23.25" thickBot="1" x14ac:dyDescent="0.3">
      <c r="A6807" s="4" t="s">
        <v>19</v>
      </c>
      <c r="B6807" s="4" t="s">
        <v>20</v>
      </c>
      <c r="C6807" s="4" t="s">
        <v>21</v>
      </c>
      <c r="D6807" s="4" t="s">
        <v>22</v>
      </c>
      <c r="E6807" s="4" t="s">
        <v>23</v>
      </c>
      <c r="F6807" s="4" t="s">
        <v>24</v>
      </c>
    </row>
    <row r="6808" spans="1:6" ht="15.75" thickBot="1" x14ac:dyDescent="0.3">
      <c r="A6808" s="32" t="s">
        <v>498</v>
      </c>
      <c r="B6808" s="32" t="s">
        <v>499</v>
      </c>
      <c r="C6808" s="32" t="s">
        <v>129</v>
      </c>
      <c r="D6808" s="6" t="s">
        <v>28</v>
      </c>
      <c r="E6808" s="6" t="s">
        <v>262</v>
      </c>
      <c r="F6808" s="6"/>
    </row>
    <row r="6809" spans="1:6" ht="15.75" thickBot="1" x14ac:dyDescent="0.3">
      <c r="A6809" s="35" t="s">
        <v>31</v>
      </c>
      <c r="B6809" s="7" t="s">
        <v>32</v>
      </c>
      <c r="C6809" s="15">
        <v>45566</v>
      </c>
      <c r="D6809" s="35" t="s">
        <v>33</v>
      </c>
      <c r="E6809" s="7" t="s">
        <v>34</v>
      </c>
      <c r="F6809" s="6"/>
    </row>
    <row r="6810" spans="1:6" ht="15.75" thickBot="1" x14ac:dyDescent="0.3">
      <c r="A6810" s="36"/>
      <c r="B6810" s="7" t="s">
        <v>36</v>
      </c>
      <c r="C6810" s="5">
        <f>IF(C6809="","",IF(AND(MONTH(C6809)&gt;=1,MONTH(C6809)&lt;=3),1,IF(AND(MONTH(C6809)&gt;=4,MONTH(C6809)&lt;=6),2,IF(AND(MONTH(C6809)&gt;=7,MONTH(C6809)&lt;=9),3,4))))</f>
        <v>4</v>
      </c>
      <c r="D6810" s="36"/>
      <c r="E6810" s="7" t="s">
        <v>37</v>
      </c>
      <c r="F6810" s="6"/>
    </row>
    <row r="6811" spans="1:6" ht="15.75" thickBot="1" x14ac:dyDescent="0.3">
      <c r="A6811" s="36"/>
      <c r="B6811" s="7" t="s">
        <v>39</v>
      </c>
      <c r="C6811" s="15">
        <v>45656</v>
      </c>
      <c r="D6811" s="36"/>
      <c r="E6811" s="7" t="s">
        <v>40</v>
      </c>
      <c r="F6811" s="6"/>
    </row>
    <row r="6812" spans="1:6" ht="15.75" thickBot="1" x14ac:dyDescent="0.3">
      <c r="A6812" s="36"/>
      <c r="B6812" s="7" t="s">
        <v>36</v>
      </c>
      <c r="C6812" s="5">
        <f>IF(C6811="","",IF(AND(MONTH(C6811)&gt;=1,MONTH(C6811)&lt;=3),1,IF(AND(MONTH(C6811)&gt;=4,MONTH(C6811)&lt;=6),2,IF(AND(MONTH(C6811)&gt;=7,MONTH(C6811)&lt;=9),3,4))))</f>
        <v>4</v>
      </c>
      <c r="D6812" s="36"/>
      <c r="E6812" s="7" t="s">
        <v>41</v>
      </c>
      <c r="F6812" s="6"/>
    </row>
    <row r="6813" spans="1:6" ht="15.75" thickBot="1" x14ac:dyDescent="0.3">
      <c r="A6813" s="40"/>
      <c r="B6813" s="40"/>
      <c r="C6813" s="40"/>
      <c r="D6813" s="40"/>
      <c r="E6813" s="40"/>
      <c r="F6813" s="40"/>
    </row>
    <row r="6814" spans="1:6" ht="15.75" thickBot="1" x14ac:dyDescent="0.3">
      <c r="A6814" s="12" t="s">
        <v>42</v>
      </c>
      <c r="B6814" s="12" t="s">
        <v>43</v>
      </c>
      <c r="C6814" s="12" t="s">
        <v>44</v>
      </c>
      <c r="D6814" s="12" t="s">
        <v>45</v>
      </c>
      <c r="E6814" s="12" t="s">
        <v>46</v>
      </c>
      <c r="F6814" s="12" t="s">
        <v>47</v>
      </c>
    </row>
    <row r="6815" spans="1:6" x14ac:dyDescent="0.25">
      <c r="A6815" s="8">
        <v>90101603</v>
      </c>
      <c r="B6815" s="9" t="str">
        <f ca="1">IFERROR(INDEX(UNSPSCDes,MATCH(INDIRECT(ADDRESS(ROW(),COLUMN()-1,4)),UNSPSCCode,0)),"")</f>
        <v>Servicios de cáterin</v>
      </c>
      <c r="C6815" s="33" t="s">
        <v>55</v>
      </c>
      <c r="D6815" s="8">
        <v>1200</v>
      </c>
      <c r="E6815" s="11">
        <v>750</v>
      </c>
      <c r="F6815" s="10">
        <f ca="1">INDIRECT(ADDRESS(ROW(),COLUMN()-2,4))*INDIRECT(ADDRESS(ROW(),COLUMN()-1,4))</f>
        <v>900000</v>
      </c>
    </row>
    <row r="6816" spans="1:6" x14ac:dyDescent="0.25">
      <c r="A6816" s="40"/>
      <c r="B6816" s="40"/>
      <c r="C6816" s="40"/>
      <c r="D6816" s="40"/>
      <c r="E6816" s="13" t="s">
        <v>87</v>
      </c>
      <c r="F6816" s="14">
        <f ca="1">SUM(Table3135303[MONTO TOTAL ESTIMADO])</f>
        <v>900000</v>
      </c>
    </row>
    <row r="6817" spans="1:6" ht="15.75" thickBot="1" x14ac:dyDescent="0.3">
      <c r="A6817" s="42"/>
      <c r="B6817" s="42"/>
      <c r="C6817" s="42"/>
      <c r="D6817" s="42"/>
      <c r="E6817" s="42"/>
      <c r="F6817" s="42"/>
    </row>
    <row r="6818" spans="1:6" ht="23.25" thickBot="1" x14ac:dyDescent="0.3">
      <c r="A6818" s="4" t="s">
        <v>19</v>
      </c>
      <c r="B6818" s="4" t="s">
        <v>20</v>
      </c>
      <c r="C6818" s="4" t="s">
        <v>21</v>
      </c>
      <c r="D6818" s="4" t="s">
        <v>22</v>
      </c>
      <c r="E6818" s="4" t="s">
        <v>23</v>
      </c>
      <c r="F6818" s="4" t="s">
        <v>24</v>
      </c>
    </row>
    <row r="6819" spans="1:6" ht="15.75" thickBot="1" x14ac:dyDescent="0.3">
      <c r="A6819" s="32" t="s">
        <v>221</v>
      </c>
      <c r="B6819" s="32" t="s">
        <v>500</v>
      </c>
      <c r="C6819" s="32" t="s">
        <v>129</v>
      </c>
      <c r="D6819" s="6" t="s">
        <v>28</v>
      </c>
      <c r="E6819" s="6" t="s">
        <v>262</v>
      </c>
      <c r="F6819" s="6"/>
    </row>
    <row r="6820" spans="1:6" ht="15.75" thickBot="1" x14ac:dyDescent="0.3">
      <c r="A6820" s="35" t="s">
        <v>31</v>
      </c>
      <c r="B6820" s="7" t="s">
        <v>32</v>
      </c>
      <c r="C6820" s="15">
        <v>45566</v>
      </c>
      <c r="D6820" s="35" t="s">
        <v>33</v>
      </c>
      <c r="E6820" s="7" t="s">
        <v>34</v>
      </c>
      <c r="F6820" s="6"/>
    </row>
    <row r="6821" spans="1:6" ht="15.75" thickBot="1" x14ac:dyDescent="0.3">
      <c r="A6821" s="36"/>
      <c r="B6821" s="7" t="s">
        <v>36</v>
      </c>
      <c r="C6821" s="5">
        <f>IF(C6820="","",IF(AND(MONTH(C6820)&gt;=1,MONTH(C6820)&lt;=3),1,IF(AND(MONTH(C6820)&gt;=4,MONTH(C6820)&lt;=6),2,IF(AND(MONTH(C6820)&gt;=7,MONTH(C6820)&lt;=9),3,4))))</f>
        <v>4</v>
      </c>
      <c r="D6821" s="36"/>
      <c r="E6821" s="7" t="s">
        <v>37</v>
      </c>
      <c r="F6821" s="6"/>
    </row>
    <row r="6822" spans="1:6" ht="15.75" thickBot="1" x14ac:dyDescent="0.3">
      <c r="A6822" s="36"/>
      <c r="B6822" s="7" t="s">
        <v>39</v>
      </c>
      <c r="C6822" s="15">
        <v>45656</v>
      </c>
      <c r="D6822" s="36"/>
      <c r="E6822" s="7" t="s">
        <v>40</v>
      </c>
      <c r="F6822" s="6"/>
    </row>
    <row r="6823" spans="1:6" ht="15.75" thickBot="1" x14ac:dyDescent="0.3">
      <c r="A6823" s="36"/>
      <c r="B6823" s="7" t="s">
        <v>36</v>
      </c>
      <c r="C6823" s="5">
        <f>IF(C6822="","",IF(AND(MONTH(C6822)&gt;=1,MONTH(C6822)&lt;=3),1,IF(AND(MONTH(C6822)&gt;=4,MONTH(C6822)&lt;=6),2,IF(AND(MONTH(C6822)&gt;=7,MONTH(C6822)&lt;=9),3,4))))</f>
        <v>4</v>
      </c>
      <c r="D6823" s="36"/>
      <c r="E6823" s="7" t="s">
        <v>41</v>
      </c>
      <c r="F6823" s="6"/>
    </row>
    <row r="6824" spans="1:6" ht="15.75" thickBot="1" x14ac:dyDescent="0.3">
      <c r="A6824" s="40"/>
      <c r="B6824" s="40"/>
      <c r="C6824" s="40"/>
      <c r="D6824" s="40"/>
      <c r="E6824" s="40"/>
      <c r="F6824" s="40"/>
    </row>
    <row r="6825" spans="1:6" ht="15.75" thickBot="1" x14ac:dyDescent="0.3">
      <c r="A6825" s="12" t="s">
        <v>42</v>
      </c>
      <c r="B6825" s="12" t="s">
        <v>43</v>
      </c>
      <c r="C6825" s="12" t="s">
        <v>44</v>
      </c>
      <c r="D6825" s="12" t="s">
        <v>45</v>
      </c>
      <c r="E6825" s="12" t="s">
        <v>46</v>
      </c>
      <c r="F6825" s="12" t="s">
        <v>47</v>
      </c>
    </row>
    <row r="6826" spans="1:6" x14ac:dyDescent="0.25">
      <c r="A6826" s="8">
        <v>90101802</v>
      </c>
      <c r="B6826" s="9" t="str">
        <f ca="1">IFERROR(INDEX(UNSPSCDes,MATCH(INDIRECT(ADDRESS(ROW(),COLUMN()-1,4)),UNSPSCCode,0)),"")</f>
        <v>Servicios de comidas a domicilio</v>
      </c>
      <c r="C6826" s="33" t="s">
        <v>55</v>
      </c>
      <c r="D6826" s="8">
        <v>15</v>
      </c>
      <c r="E6826" s="11">
        <v>1800</v>
      </c>
      <c r="F6826" s="10">
        <f ca="1">INDIRECT(ADDRESS(ROW(),COLUMN()-2,4))*INDIRECT(ADDRESS(ROW(),COLUMN()-1,4))</f>
        <v>27000</v>
      </c>
    </row>
    <row r="6827" spans="1:6" x14ac:dyDescent="0.25">
      <c r="A6827" s="40"/>
      <c r="B6827" s="40"/>
      <c r="C6827" s="40"/>
      <c r="D6827" s="40"/>
      <c r="E6827" s="13" t="s">
        <v>87</v>
      </c>
      <c r="F6827" s="14">
        <f ca="1">SUM(Table3136304[MONTO TOTAL ESTIMADO])</f>
        <v>27000</v>
      </c>
    </row>
    <row r="6828" spans="1:6" ht="15.75" thickBot="1" x14ac:dyDescent="0.3">
      <c r="A6828" s="42"/>
      <c r="B6828" s="42"/>
      <c r="C6828" s="42"/>
      <c r="D6828" s="42"/>
      <c r="E6828" s="42"/>
      <c r="F6828" s="42"/>
    </row>
    <row r="6829" spans="1:6" ht="23.25" thickBot="1" x14ac:dyDescent="0.3">
      <c r="A6829" s="4" t="s">
        <v>19</v>
      </c>
      <c r="B6829" s="4" t="s">
        <v>20</v>
      </c>
      <c r="C6829" s="4" t="s">
        <v>21</v>
      </c>
      <c r="D6829" s="4" t="s">
        <v>22</v>
      </c>
      <c r="E6829" s="4" t="s">
        <v>23</v>
      </c>
      <c r="F6829" s="4" t="s">
        <v>24</v>
      </c>
    </row>
    <row r="6830" spans="1:6" ht="15.75" thickBot="1" x14ac:dyDescent="0.3">
      <c r="A6830" s="32" t="s">
        <v>501</v>
      </c>
      <c r="B6830" s="32" t="s">
        <v>490</v>
      </c>
      <c r="C6830" s="32" t="s">
        <v>27</v>
      </c>
      <c r="D6830" s="6" t="s">
        <v>28</v>
      </c>
      <c r="E6830" s="6" t="s">
        <v>262</v>
      </c>
      <c r="F6830" s="6"/>
    </row>
    <row r="6831" spans="1:6" ht="15.75" thickBot="1" x14ac:dyDescent="0.3">
      <c r="A6831" s="35" t="s">
        <v>31</v>
      </c>
      <c r="B6831" s="7" t="s">
        <v>32</v>
      </c>
      <c r="C6831" s="15">
        <v>45566</v>
      </c>
      <c r="D6831" s="35" t="s">
        <v>33</v>
      </c>
      <c r="E6831" s="7" t="s">
        <v>34</v>
      </c>
      <c r="F6831" s="6"/>
    </row>
    <row r="6832" spans="1:6" ht="15.75" thickBot="1" x14ac:dyDescent="0.3">
      <c r="A6832" s="36"/>
      <c r="B6832" s="7" t="s">
        <v>36</v>
      </c>
      <c r="C6832" s="5">
        <f>IF(C6831="","",IF(AND(MONTH(C6831)&gt;=1,MONTH(C6831)&lt;=3),1,IF(AND(MONTH(C6831)&gt;=4,MONTH(C6831)&lt;=6),2,IF(AND(MONTH(C6831)&gt;=7,MONTH(C6831)&lt;=9),3,4))))</f>
        <v>4</v>
      </c>
      <c r="D6832" s="36"/>
      <c r="E6832" s="7" t="s">
        <v>37</v>
      </c>
      <c r="F6832" s="6"/>
    </row>
    <row r="6833" spans="1:6" ht="15.75" thickBot="1" x14ac:dyDescent="0.3">
      <c r="A6833" s="36"/>
      <c r="B6833" s="7" t="s">
        <v>39</v>
      </c>
      <c r="C6833" s="15">
        <v>45656</v>
      </c>
      <c r="D6833" s="36"/>
      <c r="E6833" s="7" t="s">
        <v>40</v>
      </c>
      <c r="F6833" s="6"/>
    </row>
    <row r="6834" spans="1:6" ht="15.75" thickBot="1" x14ac:dyDescent="0.3">
      <c r="A6834" s="36"/>
      <c r="B6834" s="7" t="s">
        <v>36</v>
      </c>
      <c r="C6834" s="5">
        <f>IF(C6833="","",IF(AND(MONTH(C6833)&gt;=1,MONTH(C6833)&lt;=3),1,IF(AND(MONTH(C6833)&gt;=4,MONTH(C6833)&lt;=6),2,IF(AND(MONTH(C6833)&gt;=7,MONTH(C6833)&lt;=9),3,4))))</f>
        <v>4</v>
      </c>
      <c r="D6834" s="36"/>
      <c r="E6834" s="7" t="s">
        <v>41</v>
      </c>
      <c r="F6834" s="6"/>
    </row>
    <row r="6835" spans="1:6" ht="15.75" thickBot="1" x14ac:dyDescent="0.3">
      <c r="A6835" s="40"/>
      <c r="B6835" s="40"/>
      <c r="C6835" s="40"/>
      <c r="D6835" s="40"/>
      <c r="E6835" s="40"/>
      <c r="F6835" s="40"/>
    </row>
    <row r="6836" spans="1:6" ht="15.75" thickBot="1" x14ac:dyDescent="0.3">
      <c r="A6836" s="12" t="s">
        <v>42</v>
      </c>
      <c r="B6836" s="12" t="s">
        <v>43</v>
      </c>
      <c r="C6836" s="12" t="s">
        <v>44</v>
      </c>
      <c r="D6836" s="12" t="s">
        <v>45</v>
      </c>
      <c r="E6836" s="12" t="s">
        <v>46</v>
      </c>
      <c r="F6836" s="12" t="s">
        <v>47</v>
      </c>
    </row>
    <row r="6837" spans="1:6" x14ac:dyDescent="0.25">
      <c r="A6837" s="8">
        <v>14111514</v>
      </c>
      <c r="B6837" s="9" t="str">
        <f t="shared" ref="B6837:B6847" ca="1" si="153">IFERROR(INDEX(UNSPSCDes,MATCH(INDIRECT(ADDRESS(ROW(),COLUMN()-1,4)),UNSPSCCode,0)),"")</f>
        <v>Blocs o cuadernos de papel</v>
      </c>
      <c r="C6837" s="33" t="s">
        <v>55</v>
      </c>
      <c r="D6837" s="8">
        <v>2400</v>
      </c>
      <c r="E6837" s="11">
        <v>92.04</v>
      </c>
      <c r="F6837" s="10">
        <f t="shared" ref="F6837:F6847" ca="1" si="154">INDIRECT(ADDRESS(ROW(),COLUMN()-2,4))*INDIRECT(ADDRESS(ROW(),COLUMN()-1,4))</f>
        <v>220896.00000000003</v>
      </c>
    </row>
    <row r="6838" spans="1:6" x14ac:dyDescent="0.25">
      <c r="A6838" s="8">
        <v>44121706</v>
      </c>
      <c r="B6838" s="9" t="str">
        <f t="shared" ca="1" si="153"/>
        <v>Lápices de madera</v>
      </c>
      <c r="C6838" s="33" t="s">
        <v>49</v>
      </c>
      <c r="D6838" s="8">
        <v>100</v>
      </c>
      <c r="E6838" s="11">
        <v>88.6</v>
      </c>
      <c r="F6838" s="10">
        <f t="shared" ca="1" si="154"/>
        <v>8860</v>
      </c>
    </row>
    <row r="6839" spans="1:6" x14ac:dyDescent="0.25">
      <c r="A6839" s="8">
        <v>44121701</v>
      </c>
      <c r="B6839" s="9" t="str">
        <f t="shared" ca="1" si="153"/>
        <v>Bolígrafos</v>
      </c>
      <c r="C6839" s="33" t="s">
        <v>49</v>
      </c>
      <c r="D6839" s="8">
        <v>100</v>
      </c>
      <c r="E6839" s="11">
        <v>109.84</v>
      </c>
      <c r="F6839" s="10">
        <f t="shared" ca="1" si="154"/>
        <v>10984</v>
      </c>
    </row>
    <row r="6840" spans="1:6" x14ac:dyDescent="0.25">
      <c r="A6840" s="8">
        <v>53121603</v>
      </c>
      <c r="B6840" s="9" t="str">
        <f t="shared" ca="1" si="153"/>
        <v>Morrales</v>
      </c>
      <c r="C6840" s="33" t="s">
        <v>55</v>
      </c>
      <c r="D6840" s="8">
        <v>600</v>
      </c>
      <c r="E6840" s="11">
        <v>973.5</v>
      </c>
      <c r="F6840" s="10">
        <f t="shared" ca="1" si="154"/>
        <v>584100</v>
      </c>
    </row>
    <row r="6841" spans="1:6" x14ac:dyDescent="0.25">
      <c r="A6841" s="8">
        <v>44121804</v>
      </c>
      <c r="B6841" s="9" t="str">
        <f t="shared" ca="1" si="153"/>
        <v>Borradores</v>
      </c>
      <c r="C6841" s="33" t="s">
        <v>55</v>
      </c>
      <c r="D6841" s="8">
        <v>600</v>
      </c>
      <c r="E6841" s="11">
        <v>51.92</v>
      </c>
      <c r="F6841" s="10">
        <f t="shared" ca="1" si="154"/>
        <v>31152</v>
      </c>
    </row>
    <row r="6842" spans="1:6" x14ac:dyDescent="0.25">
      <c r="A6842" s="8">
        <v>44121619</v>
      </c>
      <c r="B6842" s="9" t="str">
        <f t="shared" ca="1" si="153"/>
        <v>Tajalápices manuales</v>
      </c>
      <c r="C6842" s="33" t="s">
        <v>55</v>
      </c>
      <c r="D6842" s="8">
        <v>600</v>
      </c>
      <c r="E6842" s="11">
        <v>23.6</v>
      </c>
      <c r="F6842" s="10">
        <f t="shared" ca="1" si="154"/>
        <v>14160</v>
      </c>
    </row>
    <row r="6843" spans="1:6" x14ac:dyDescent="0.25">
      <c r="A6843" s="8">
        <v>44111509</v>
      </c>
      <c r="B6843" s="9" t="str">
        <f t="shared" ca="1" si="153"/>
        <v>Sujetadores de esferos o lápices</v>
      </c>
      <c r="C6843" s="33" t="s">
        <v>55</v>
      </c>
      <c r="D6843" s="8">
        <v>600</v>
      </c>
      <c r="E6843" s="11">
        <v>135.69999999999999</v>
      </c>
      <c r="F6843" s="10">
        <f t="shared" ca="1" si="154"/>
        <v>81420</v>
      </c>
    </row>
    <row r="6844" spans="1:6" x14ac:dyDescent="0.25">
      <c r="A6844" s="8">
        <v>52152002</v>
      </c>
      <c r="B6844" s="9" t="str">
        <f t="shared" ca="1" si="153"/>
        <v>Contenedores para almacenar alimentos para uso doméstico</v>
      </c>
      <c r="C6844" s="33" t="s">
        <v>55</v>
      </c>
      <c r="D6844" s="8">
        <v>600</v>
      </c>
      <c r="E6844" s="11">
        <v>722.75</v>
      </c>
      <c r="F6844" s="10">
        <f t="shared" ca="1" si="154"/>
        <v>433650</v>
      </c>
    </row>
    <row r="6845" spans="1:6" x14ac:dyDescent="0.25">
      <c r="A6845" s="8">
        <v>44111803</v>
      </c>
      <c r="B6845" s="9" t="str">
        <f t="shared" ca="1" si="153"/>
        <v>Compases</v>
      </c>
      <c r="C6845" s="33" t="s">
        <v>55</v>
      </c>
      <c r="D6845" s="8">
        <v>600</v>
      </c>
      <c r="E6845" s="11">
        <v>45.78</v>
      </c>
      <c r="F6845" s="10">
        <f t="shared" ca="1" si="154"/>
        <v>27468</v>
      </c>
    </row>
    <row r="6846" spans="1:6" x14ac:dyDescent="0.25">
      <c r="A6846" s="8">
        <v>44111812</v>
      </c>
      <c r="B6846" s="9" t="str">
        <f t="shared" ca="1" si="153"/>
        <v>Kits o sets de dibujo</v>
      </c>
      <c r="C6846" s="33" t="s">
        <v>55</v>
      </c>
      <c r="D6846" s="8">
        <v>600</v>
      </c>
      <c r="E6846" s="11">
        <v>37.909999999999997</v>
      </c>
      <c r="F6846" s="10">
        <f t="shared" ca="1" si="154"/>
        <v>22745.999999999996</v>
      </c>
    </row>
    <row r="6847" spans="1:6" x14ac:dyDescent="0.25">
      <c r="A6847" s="8">
        <v>44121707</v>
      </c>
      <c r="B6847" s="9" t="str">
        <f t="shared" ca="1" si="153"/>
        <v>Lápices de colores</v>
      </c>
      <c r="C6847" s="33" t="s">
        <v>49</v>
      </c>
      <c r="D6847" s="8">
        <v>600</v>
      </c>
      <c r="E6847" s="11">
        <v>107.43</v>
      </c>
      <c r="F6847" s="10">
        <f t="shared" ca="1" si="154"/>
        <v>64458.000000000007</v>
      </c>
    </row>
    <row r="6848" spans="1:6" x14ac:dyDescent="0.25">
      <c r="A6848" s="40"/>
      <c r="B6848" s="40"/>
      <c r="C6848" s="40"/>
      <c r="D6848" s="40"/>
      <c r="E6848" s="13" t="s">
        <v>87</v>
      </c>
      <c r="F6848" s="14">
        <f ca="1">SUM(Table3137305[MONTO TOTAL ESTIMADO])</f>
        <v>1499894</v>
      </c>
    </row>
    <row r="6849" spans="1:6" ht="15.75" thickBot="1" x14ac:dyDescent="0.3">
      <c r="A6849" s="42"/>
      <c r="B6849" s="42"/>
      <c r="C6849" s="42"/>
      <c r="D6849" s="42"/>
      <c r="E6849" s="42"/>
      <c r="F6849" s="42"/>
    </row>
    <row r="6850" spans="1:6" ht="23.25" thickBot="1" x14ac:dyDescent="0.3">
      <c r="A6850" s="4" t="s">
        <v>19</v>
      </c>
      <c r="B6850" s="4" t="s">
        <v>20</v>
      </c>
      <c r="C6850" s="4" t="s">
        <v>21</v>
      </c>
      <c r="D6850" s="4" t="s">
        <v>22</v>
      </c>
      <c r="E6850" s="4" t="s">
        <v>23</v>
      </c>
      <c r="F6850" s="4" t="s">
        <v>24</v>
      </c>
    </row>
    <row r="6851" spans="1:6" ht="15.75" thickBot="1" x14ac:dyDescent="0.3">
      <c r="A6851" s="32" t="s">
        <v>502</v>
      </c>
      <c r="B6851" s="32" t="s">
        <v>503</v>
      </c>
      <c r="C6851" s="32" t="s">
        <v>27</v>
      </c>
      <c r="D6851" s="6" t="s">
        <v>188</v>
      </c>
      <c r="E6851" s="6" t="s">
        <v>262</v>
      </c>
      <c r="F6851" s="6"/>
    </row>
    <row r="6852" spans="1:6" ht="15.75" thickBot="1" x14ac:dyDescent="0.3">
      <c r="A6852" s="35" t="s">
        <v>31</v>
      </c>
      <c r="B6852" s="7" t="s">
        <v>32</v>
      </c>
      <c r="C6852" s="15">
        <v>45566</v>
      </c>
      <c r="D6852" s="35" t="s">
        <v>33</v>
      </c>
      <c r="E6852" s="7" t="s">
        <v>34</v>
      </c>
      <c r="F6852" s="6"/>
    </row>
    <row r="6853" spans="1:6" ht="15.75" thickBot="1" x14ac:dyDescent="0.3">
      <c r="A6853" s="36"/>
      <c r="B6853" s="7" t="s">
        <v>36</v>
      </c>
      <c r="C6853" s="5">
        <f>IF(C6852="","",IF(AND(MONTH(C6852)&gt;=1,MONTH(C6852)&lt;=3),1,IF(AND(MONTH(C6852)&gt;=4,MONTH(C6852)&lt;=6),2,IF(AND(MONTH(C6852)&gt;=7,MONTH(C6852)&lt;=9),3,4))))</f>
        <v>4</v>
      </c>
      <c r="D6853" s="36"/>
      <c r="E6853" s="7" t="s">
        <v>37</v>
      </c>
      <c r="F6853" s="6"/>
    </row>
    <row r="6854" spans="1:6" ht="15.75" thickBot="1" x14ac:dyDescent="0.3">
      <c r="A6854" s="36"/>
      <c r="B6854" s="7" t="s">
        <v>39</v>
      </c>
      <c r="C6854" s="15">
        <v>45656</v>
      </c>
      <c r="D6854" s="36"/>
      <c r="E6854" s="7" t="s">
        <v>40</v>
      </c>
      <c r="F6854" s="6"/>
    </row>
    <row r="6855" spans="1:6" ht="15.75" thickBot="1" x14ac:dyDescent="0.3">
      <c r="A6855" s="36"/>
      <c r="B6855" s="7" t="s">
        <v>36</v>
      </c>
      <c r="C6855" s="5">
        <f>IF(C6854="","",IF(AND(MONTH(C6854)&gt;=1,MONTH(C6854)&lt;=3),1,IF(AND(MONTH(C6854)&gt;=4,MONTH(C6854)&lt;=6),2,IF(AND(MONTH(C6854)&gt;=7,MONTH(C6854)&lt;=9),3,4))))</f>
        <v>4</v>
      </c>
      <c r="D6855" s="36"/>
      <c r="E6855" s="7" t="s">
        <v>41</v>
      </c>
      <c r="F6855" s="6"/>
    </row>
    <row r="6856" spans="1:6" ht="15.75" thickBot="1" x14ac:dyDescent="0.3">
      <c r="A6856" s="40"/>
      <c r="B6856" s="40"/>
      <c r="C6856" s="40"/>
      <c r="D6856" s="40"/>
      <c r="E6856" s="40"/>
      <c r="F6856" s="40"/>
    </row>
    <row r="6857" spans="1:6" ht="15.75" thickBot="1" x14ac:dyDescent="0.3">
      <c r="A6857" s="12" t="s">
        <v>42</v>
      </c>
      <c r="B6857" s="12" t="s">
        <v>43</v>
      </c>
      <c r="C6857" s="12" t="s">
        <v>44</v>
      </c>
      <c r="D6857" s="12" t="s">
        <v>45</v>
      </c>
      <c r="E6857" s="12" t="s">
        <v>46</v>
      </c>
      <c r="F6857" s="12" t="s">
        <v>47</v>
      </c>
    </row>
    <row r="6858" spans="1:6" x14ac:dyDescent="0.25">
      <c r="A6858" s="8">
        <v>52131501</v>
      </c>
      <c r="B6858" s="9" t="str">
        <f ca="1">IFERROR(INDEX(UNSPSCDes,MATCH(INDIRECT(ADDRESS(ROW(),COLUMN()-1,4)),UNSPSCCode,0)),"")</f>
        <v>Cortinas</v>
      </c>
      <c r="C6858" s="33" t="s">
        <v>55</v>
      </c>
      <c r="D6858" s="8">
        <v>4</v>
      </c>
      <c r="E6858" s="11">
        <v>22000</v>
      </c>
      <c r="F6858" s="10">
        <f ca="1">INDIRECT(ADDRESS(ROW(),COLUMN()-2,4))*INDIRECT(ADDRESS(ROW(),COLUMN()-1,4))</f>
        <v>88000</v>
      </c>
    </row>
    <row r="6859" spans="1:6" x14ac:dyDescent="0.25">
      <c r="A6859" s="40"/>
      <c r="B6859" s="40"/>
      <c r="C6859" s="40"/>
      <c r="D6859" s="40"/>
      <c r="E6859" s="13" t="s">
        <v>87</v>
      </c>
      <c r="F6859" s="14">
        <f ca="1">SUM(Table3138306[MONTO TOTAL ESTIMADO])</f>
        <v>88000</v>
      </c>
    </row>
    <row r="6860" spans="1:6" ht="15.75" thickBot="1" x14ac:dyDescent="0.3">
      <c r="A6860" s="42"/>
      <c r="B6860" s="42"/>
      <c r="C6860" s="42"/>
      <c r="D6860" s="42"/>
      <c r="E6860" s="42"/>
      <c r="F6860" s="42"/>
    </row>
    <row r="6861" spans="1:6" ht="23.25" thickBot="1" x14ac:dyDescent="0.3">
      <c r="A6861" s="4" t="s">
        <v>19</v>
      </c>
      <c r="B6861" s="4" t="s">
        <v>20</v>
      </c>
      <c r="C6861" s="4" t="s">
        <v>21</v>
      </c>
      <c r="D6861" s="4" t="s">
        <v>22</v>
      </c>
      <c r="E6861" s="4" t="s">
        <v>23</v>
      </c>
      <c r="F6861" s="4" t="s">
        <v>24</v>
      </c>
    </row>
    <row r="6862" spans="1:6" ht="15.75" thickBot="1" x14ac:dyDescent="0.3">
      <c r="A6862" s="32" t="s">
        <v>502</v>
      </c>
      <c r="B6862" s="32" t="s">
        <v>503</v>
      </c>
      <c r="C6862" s="32" t="s">
        <v>27</v>
      </c>
      <c r="D6862" s="6" t="s">
        <v>28</v>
      </c>
      <c r="E6862" s="6" t="s">
        <v>262</v>
      </c>
      <c r="F6862" s="6"/>
    </row>
    <row r="6863" spans="1:6" ht="15.75" thickBot="1" x14ac:dyDescent="0.3">
      <c r="A6863" s="35" t="s">
        <v>31</v>
      </c>
      <c r="B6863" s="7" t="s">
        <v>32</v>
      </c>
      <c r="C6863" s="15">
        <v>45566</v>
      </c>
      <c r="D6863" s="35" t="s">
        <v>33</v>
      </c>
      <c r="E6863" s="7" t="s">
        <v>34</v>
      </c>
      <c r="F6863" s="6"/>
    </row>
    <row r="6864" spans="1:6" ht="15.75" thickBot="1" x14ac:dyDescent="0.3">
      <c r="A6864" s="36"/>
      <c r="B6864" s="7" t="s">
        <v>36</v>
      </c>
      <c r="C6864" s="5">
        <f>IF(C6863="","",IF(AND(MONTH(C6863)&gt;=1,MONTH(C6863)&lt;=3),1,IF(AND(MONTH(C6863)&gt;=4,MONTH(C6863)&lt;=6),2,IF(AND(MONTH(C6863)&gt;=7,MONTH(C6863)&lt;=9),3,4))))</f>
        <v>4</v>
      </c>
      <c r="D6864" s="36"/>
      <c r="E6864" s="7" t="s">
        <v>37</v>
      </c>
      <c r="F6864" s="6"/>
    </row>
    <row r="6865" spans="1:6" ht="15.75" thickBot="1" x14ac:dyDescent="0.3">
      <c r="A6865" s="36"/>
      <c r="B6865" s="7" t="s">
        <v>39</v>
      </c>
      <c r="C6865" s="15">
        <v>45656</v>
      </c>
      <c r="D6865" s="36"/>
      <c r="E6865" s="7" t="s">
        <v>40</v>
      </c>
      <c r="F6865" s="6"/>
    </row>
    <row r="6866" spans="1:6" ht="15.75" thickBot="1" x14ac:dyDescent="0.3">
      <c r="A6866" s="36"/>
      <c r="B6866" s="7" t="s">
        <v>36</v>
      </c>
      <c r="C6866" s="5">
        <f>IF(C6865="","",IF(AND(MONTH(C6865)&gt;=1,MONTH(C6865)&lt;=3),1,IF(AND(MONTH(C6865)&gt;=4,MONTH(C6865)&lt;=6),2,IF(AND(MONTH(C6865)&gt;=7,MONTH(C6865)&lt;=9),3,4))))</f>
        <v>4</v>
      </c>
      <c r="D6866" s="36"/>
      <c r="E6866" s="7" t="s">
        <v>41</v>
      </c>
      <c r="F6866" s="6"/>
    </row>
    <row r="6867" spans="1:6" ht="15.75" thickBot="1" x14ac:dyDescent="0.3">
      <c r="A6867" s="40"/>
      <c r="B6867" s="40"/>
      <c r="C6867" s="40"/>
      <c r="D6867" s="40"/>
      <c r="E6867" s="40"/>
      <c r="F6867" s="40"/>
    </row>
    <row r="6868" spans="1:6" ht="15.75" thickBot="1" x14ac:dyDescent="0.3">
      <c r="A6868" s="12" t="s">
        <v>42</v>
      </c>
      <c r="B6868" s="12" t="s">
        <v>43</v>
      </c>
      <c r="C6868" s="12" t="s">
        <v>44</v>
      </c>
      <c r="D6868" s="12" t="s">
        <v>45</v>
      </c>
      <c r="E6868" s="12" t="s">
        <v>46</v>
      </c>
      <c r="F6868" s="12" t="s">
        <v>47</v>
      </c>
    </row>
    <row r="6869" spans="1:6" x14ac:dyDescent="0.25">
      <c r="A6869" s="8">
        <v>52131501</v>
      </c>
      <c r="B6869" s="9" t="str">
        <f ca="1">IFERROR(INDEX(UNSPSCDes,MATCH(INDIRECT(ADDRESS(ROW(),COLUMN()-1,4)),UNSPSCCode,0)),"")</f>
        <v>Cortinas</v>
      </c>
      <c r="C6869" s="33" t="s">
        <v>55</v>
      </c>
      <c r="D6869" s="8">
        <v>10</v>
      </c>
      <c r="E6869" s="11">
        <v>22000</v>
      </c>
      <c r="F6869" s="10">
        <f ca="1">INDIRECT(ADDRESS(ROW(),COLUMN()-2,4))*INDIRECT(ADDRESS(ROW(),COLUMN()-1,4))</f>
        <v>220000</v>
      </c>
    </row>
    <row r="6870" spans="1:6" x14ac:dyDescent="0.25">
      <c r="A6870" s="40"/>
      <c r="B6870" s="40"/>
      <c r="C6870" s="40"/>
      <c r="D6870" s="40"/>
      <c r="E6870" s="13" t="s">
        <v>87</v>
      </c>
      <c r="F6870" s="14">
        <f ca="1">SUM(Table3139307[MONTO TOTAL ESTIMADO])</f>
        <v>220000</v>
      </c>
    </row>
    <row r="6871" spans="1:6" ht="15.75" thickBot="1" x14ac:dyDescent="0.3">
      <c r="A6871" s="42"/>
      <c r="B6871" s="42"/>
      <c r="C6871" s="42"/>
      <c r="D6871" s="42"/>
      <c r="E6871" s="42"/>
      <c r="F6871" s="42"/>
    </row>
    <row r="6872" spans="1:6" ht="23.25" thickBot="1" x14ac:dyDescent="0.3">
      <c r="A6872" s="4" t="s">
        <v>19</v>
      </c>
      <c r="B6872" s="4" t="s">
        <v>20</v>
      </c>
      <c r="C6872" s="4" t="s">
        <v>21</v>
      </c>
      <c r="D6872" s="4" t="s">
        <v>22</v>
      </c>
      <c r="E6872" s="4" t="s">
        <v>23</v>
      </c>
      <c r="F6872" s="4" t="s">
        <v>24</v>
      </c>
    </row>
    <row r="6873" spans="1:6" ht="15.75" thickBot="1" x14ac:dyDescent="0.3">
      <c r="A6873" s="32" t="s">
        <v>462</v>
      </c>
      <c r="B6873" s="32" t="s">
        <v>463</v>
      </c>
      <c r="C6873" s="32" t="s">
        <v>27</v>
      </c>
      <c r="D6873" s="6" t="s">
        <v>28</v>
      </c>
      <c r="E6873" s="6" t="s">
        <v>262</v>
      </c>
      <c r="F6873" s="6"/>
    </row>
    <row r="6874" spans="1:6" ht="15.75" thickBot="1" x14ac:dyDescent="0.3">
      <c r="A6874" s="35" t="s">
        <v>31</v>
      </c>
      <c r="B6874" s="7" t="s">
        <v>32</v>
      </c>
      <c r="C6874" s="15">
        <v>45566</v>
      </c>
      <c r="D6874" s="35" t="s">
        <v>33</v>
      </c>
      <c r="E6874" s="7" t="s">
        <v>34</v>
      </c>
      <c r="F6874" s="6"/>
    </row>
    <row r="6875" spans="1:6" ht="15.75" thickBot="1" x14ac:dyDescent="0.3">
      <c r="A6875" s="36"/>
      <c r="B6875" s="7" t="s">
        <v>36</v>
      </c>
      <c r="C6875" s="5">
        <f>IF(C6874="","",IF(AND(MONTH(C6874)&gt;=1,MONTH(C6874)&lt;=3),1,IF(AND(MONTH(C6874)&gt;=4,MONTH(C6874)&lt;=6),2,IF(AND(MONTH(C6874)&gt;=7,MONTH(C6874)&lt;=9),3,4))))</f>
        <v>4</v>
      </c>
      <c r="D6875" s="36"/>
      <c r="E6875" s="7" t="s">
        <v>37</v>
      </c>
      <c r="F6875" s="6"/>
    </row>
    <row r="6876" spans="1:6" ht="15.75" thickBot="1" x14ac:dyDescent="0.3">
      <c r="A6876" s="36"/>
      <c r="B6876" s="7" t="s">
        <v>39</v>
      </c>
      <c r="C6876" s="15">
        <v>45656</v>
      </c>
      <c r="D6876" s="36"/>
      <c r="E6876" s="7" t="s">
        <v>40</v>
      </c>
      <c r="F6876" s="6"/>
    </row>
    <row r="6877" spans="1:6" ht="15.75" thickBot="1" x14ac:dyDescent="0.3">
      <c r="A6877" s="36"/>
      <c r="B6877" s="7" t="s">
        <v>36</v>
      </c>
      <c r="C6877" s="5">
        <f>IF(C6876="","",IF(AND(MONTH(C6876)&gt;=1,MONTH(C6876)&lt;=3),1,IF(AND(MONTH(C6876)&gt;=4,MONTH(C6876)&lt;=6),2,IF(AND(MONTH(C6876)&gt;=7,MONTH(C6876)&lt;=9),3,4))))</f>
        <v>4</v>
      </c>
      <c r="D6877" s="36"/>
      <c r="E6877" s="7" t="s">
        <v>41</v>
      </c>
      <c r="F6877" s="6"/>
    </row>
    <row r="6878" spans="1:6" ht="15.75" thickBot="1" x14ac:dyDescent="0.3">
      <c r="A6878" s="40"/>
      <c r="B6878" s="40"/>
      <c r="C6878" s="40"/>
      <c r="D6878" s="40"/>
      <c r="E6878" s="40"/>
      <c r="F6878" s="40"/>
    </row>
    <row r="6879" spans="1:6" ht="15.75" thickBot="1" x14ac:dyDescent="0.3">
      <c r="A6879" s="12" t="s">
        <v>42</v>
      </c>
      <c r="B6879" s="12" t="s">
        <v>43</v>
      </c>
      <c r="C6879" s="12" t="s">
        <v>44</v>
      </c>
      <c r="D6879" s="12" t="s">
        <v>45</v>
      </c>
      <c r="E6879" s="12" t="s">
        <v>46</v>
      </c>
      <c r="F6879" s="12" t="s">
        <v>47</v>
      </c>
    </row>
    <row r="6880" spans="1:6" x14ac:dyDescent="0.25">
      <c r="A6880" s="8">
        <v>50161509</v>
      </c>
      <c r="B6880" s="9" t="str">
        <f t="shared" ref="B6880:B6893" ca="1" si="155">IFERROR(INDEX(UNSPSCDes,MATCH(INDIRECT(ADDRESS(ROW(),COLUMN()-1,4)),UNSPSCCode,0)),"")</f>
        <v>Azucares naturales o productos endulzantes</v>
      </c>
      <c r="C6880" s="33" t="s">
        <v>74</v>
      </c>
      <c r="D6880" s="8">
        <v>500</v>
      </c>
      <c r="E6880" s="11">
        <v>83.78</v>
      </c>
      <c r="F6880" s="10">
        <f t="shared" ref="F6880:F6893" ca="1" si="156">INDIRECT(ADDRESS(ROW(),COLUMN()-2,4))*INDIRECT(ADDRESS(ROW(),COLUMN()-1,4))</f>
        <v>41890</v>
      </c>
    </row>
    <row r="6881" spans="1:6" x14ac:dyDescent="0.25">
      <c r="A6881" s="8">
        <v>50221101</v>
      </c>
      <c r="B6881" s="9" t="str">
        <f t="shared" ca="1" si="155"/>
        <v>Grano de cereal</v>
      </c>
      <c r="C6881" s="33" t="s">
        <v>74</v>
      </c>
      <c r="D6881" s="8">
        <v>500</v>
      </c>
      <c r="E6881" s="11">
        <v>231.38</v>
      </c>
      <c r="F6881" s="10">
        <f t="shared" ca="1" si="156"/>
        <v>115690</v>
      </c>
    </row>
    <row r="6882" spans="1:6" x14ac:dyDescent="0.25">
      <c r="A6882" s="8">
        <v>50151513</v>
      </c>
      <c r="B6882" s="9" t="str">
        <f t="shared" ca="1" si="155"/>
        <v>Aceites vegetales o  de planta comestibles</v>
      </c>
      <c r="C6882" s="33" t="s">
        <v>55</v>
      </c>
      <c r="D6882" s="8">
        <v>500</v>
      </c>
      <c r="E6882" s="11">
        <v>132.16</v>
      </c>
      <c r="F6882" s="10">
        <f t="shared" ca="1" si="156"/>
        <v>66080</v>
      </c>
    </row>
    <row r="6883" spans="1:6" x14ac:dyDescent="0.25">
      <c r="A6883" s="8">
        <v>50192111</v>
      </c>
      <c r="B6883" s="9" t="str">
        <f t="shared" ca="1" si="155"/>
        <v>Carne seca o procesada</v>
      </c>
      <c r="C6883" s="33" t="s">
        <v>55</v>
      </c>
      <c r="D6883" s="8">
        <v>500</v>
      </c>
      <c r="E6883" s="11">
        <v>619.5</v>
      </c>
      <c r="F6883" s="10">
        <f t="shared" ca="1" si="156"/>
        <v>309750</v>
      </c>
    </row>
    <row r="6884" spans="1:6" x14ac:dyDescent="0.25">
      <c r="A6884" s="8">
        <v>50201706</v>
      </c>
      <c r="B6884" s="9" t="str">
        <f t="shared" ca="1" si="155"/>
        <v>Café</v>
      </c>
      <c r="C6884" s="33" t="s">
        <v>74</v>
      </c>
      <c r="D6884" s="8">
        <v>500</v>
      </c>
      <c r="E6884" s="11">
        <v>188.8</v>
      </c>
      <c r="F6884" s="10">
        <f t="shared" ca="1" si="156"/>
        <v>94400</v>
      </c>
    </row>
    <row r="6885" spans="1:6" x14ac:dyDescent="0.25">
      <c r="A6885" s="8">
        <v>50171831</v>
      </c>
      <c r="B6885" s="9" t="str">
        <f t="shared" ca="1" si="155"/>
        <v>Salsas para cocinar</v>
      </c>
      <c r="C6885" s="33" t="s">
        <v>55</v>
      </c>
      <c r="D6885" s="8">
        <v>500</v>
      </c>
      <c r="E6885" s="11">
        <v>105.2</v>
      </c>
      <c r="F6885" s="10">
        <f t="shared" ca="1" si="156"/>
        <v>52600</v>
      </c>
    </row>
    <row r="6886" spans="1:6" x14ac:dyDescent="0.25">
      <c r="A6886" s="8">
        <v>50121538</v>
      </c>
      <c r="B6886" s="9" t="str">
        <f t="shared" ca="1" si="155"/>
        <v>Pescado almacenado en repisa</v>
      </c>
      <c r="C6886" s="33" t="s">
        <v>55</v>
      </c>
      <c r="D6886" s="8">
        <v>500</v>
      </c>
      <c r="E6886" s="11">
        <v>142.78</v>
      </c>
      <c r="F6886" s="10">
        <f t="shared" ca="1" si="156"/>
        <v>71390</v>
      </c>
    </row>
    <row r="6887" spans="1:6" x14ac:dyDescent="0.25">
      <c r="A6887" s="8">
        <v>50192902</v>
      </c>
      <c r="B6887" s="9" t="str">
        <f t="shared" ca="1" si="155"/>
        <v>Pasta o fideos de repisa</v>
      </c>
      <c r="C6887" s="33" t="s">
        <v>55</v>
      </c>
      <c r="D6887" s="8">
        <v>500</v>
      </c>
      <c r="E6887" s="11">
        <v>48.38</v>
      </c>
      <c r="F6887" s="10">
        <f t="shared" ca="1" si="156"/>
        <v>24190</v>
      </c>
    </row>
    <row r="6888" spans="1:6" x14ac:dyDescent="0.25">
      <c r="A6888" s="8">
        <v>50101543</v>
      </c>
      <c r="B6888" s="9" t="str">
        <f t="shared" ca="1" si="155"/>
        <v>Judías secas</v>
      </c>
      <c r="C6888" s="33" t="s">
        <v>55</v>
      </c>
      <c r="D6888" s="8">
        <v>500</v>
      </c>
      <c r="E6888" s="11">
        <v>178.18</v>
      </c>
      <c r="F6888" s="10">
        <f t="shared" ca="1" si="156"/>
        <v>89090</v>
      </c>
    </row>
    <row r="6889" spans="1:6" x14ac:dyDescent="0.25">
      <c r="A6889" s="8">
        <v>50131701</v>
      </c>
      <c r="B6889" s="9" t="str">
        <f t="shared" ca="1" si="155"/>
        <v>Productos de leche o mantequilla frescos</v>
      </c>
      <c r="C6889" s="33" t="s">
        <v>55</v>
      </c>
      <c r="D6889" s="8">
        <v>500</v>
      </c>
      <c r="E6889" s="11">
        <v>384.68</v>
      </c>
      <c r="F6889" s="10">
        <f t="shared" ca="1" si="156"/>
        <v>192340</v>
      </c>
    </row>
    <row r="6890" spans="1:6" x14ac:dyDescent="0.25">
      <c r="A6890" s="8">
        <v>50121538</v>
      </c>
      <c r="B6890" s="9" t="str">
        <f t="shared" ca="1" si="155"/>
        <v>Pescado almacenado en repisa</v>
      </c>
      <c r="C6890" s="33" t="s">
        <v>55</v>
      </c>
      <c r="D6890" s="8">
        <v>500</v>
      </c>
      <c r="E6890" s="11">
        <v>148.68</v>
      </c>
      <c r="F6890" s="10">
        <f t="shared" ca="1" si="156"/>
        <v>74340</v>
      </c>
    </row>
    <row r="6891" spans="1:6" x14ac:dyDescent="0.25">
      <c r="A6891" s="8">
        <v>50101542</v>
      </c>
      <c r="B6891" s="9" t="str">
        <f t="shared" ca="1" si="155"/>
        <v>Harina vegetal</v>
      </c>
      <c r="C6891" s="33" t="s">
        <v>55</v>
      </c>
      <c r="D6891" s="8">
        <v>500</v>
      </c>
      <c r="E6891" s="11">
        <v>34.22</v>
      </c>
      <c r="F6891" s="10">
        <f t="shared" ca="1" si="156"/>
        <v>17110</v>
      </c>
    </row>
    <row r="6892" spans="1:6" x14ac:dyDescent="0.25">
      <c r="A6892" s="8">
        <v>50161511</v>
      </c>
      <c r="B6892" s="9" t="str">
        <f t="shared" ca="1" si="155"/>
        <v>Chocolate o sustituto de chocolate</v>
      </c>
      <c r="C6892" s="33" t="s">
        <v>55</v>
      </c>
      <c r="D6892" s="8">
        <v>500</v>
      </c>
      <c r="E6892" s="11">
        <v>112.1</v>
      </c>
      <c r="F6892" s="10">
        <f t="shared" ca="1" si="156"/>
        <v>56050</v>
      </c>
    </row>
    <row r="6893" spans="1:6" x14ac:dyDescent="0.25">
      <c r="A6893" s="8">
        <v>50221101</v>
      </c>
      <c r="B6893" s="9" t="str">
        <f t="shared" ca="1" si="155"/>
        <v>Grano de cereal</v>
      </c>
      <c r="C6893" s="33" t="s">
        <v>55</v>
      </c>
      <c r="D6893" s="8">
        <v>500</v>
      </c>
      <c r="E6893" s="11">
        <v>113.28</v>
      </c>
      <c r="F6893" s="10">
        <f t="shared" ca="1" si="156"/>
        <v>56640</v>
      </c>
    </row>
    <row r="6894" spans="1:6" x14ac:dyDescent="0.25">
      <c r="A6894" s="40"/>
      <c r="B6894" s="40"/>
      <c r="C6894" s="40"/>
      <c r="D6894" s="40"/>
      <c r="E6894" s="13" t="s">
        <v>87</v>
      </c>
      <c r="F6894" s="14">
        <f ca="1">SUM(Table3140308[MONTO TOTAL ESTIMADO])</f>
        <v>1261560</v>
      </c>
    </row>
    <row r="6895" spans="1:6" ht="15.75" thickBot="1" x14ac:dyDescent="0.3">
      <c r="A6895" s="42"/>
      <c r="B6895" s="42"/>
      <c r="C6895" s="42"/>
      <c r="D6895" s="42"/>
      <c r="E6895" s="42"/>
      <c r="F6895" s="42"/>
    </row>
    <row r="6896" spans="1:6" ht="23.25" thickBot="1" x14ac:dyDescent="0.3">
      <c r="A6896" s="4" t="s">
        <v>19</v>
      </c>
      <c r="B6896" s="4" t="s">
        <v>20</v>
      </c>
      <c r="C6896" s="4" t="s">
        <v>21</v>
      </c>
      <c r="D6896" s="4" t="s">
        <v>22</v>
      </c>
      <c r="E6896" s="4" t="s">
        <v>23</v>
      </c>
      <c r="F6896" s="4" t="s">
        <v>24</v>
      </c>
    </row>
    <row r="6897" spans="1:6" ht="15.75" thickBot="1" x14ac:dyDescent="0.3">
      <c r="A6897" s="32" t="s">
        <v>504</v>
      </c>
      <c r="B6897" s="32" t="s">
        <v>505</v>
      </c>
      <c r="C6897" s="32" t="s">
        <v>129</v>
      </c>
      <c r="D6897" s="6" t="s">
        <v>28</v>
      </c>
      <c r="E6897" s="6" t="s">
        <v>262</v>
      </c>
      <c r="F6897" s="6"/>
    </row>
    <row r="6898" spans="1:6" ht="15.75" thickBot="1" x14ac:dyDescent="0.3">
      <c r="A6898" s="35" t="s">
        <v>31</v>
      </c>
      <c r="B6898" s="7" t="s">
        <v>32</v>
      </c>
      <c r="C6898" s="15">
        <v>45566</v>
      </c>
      <c r="D6898" s="35" t="s">
        <v>33</v>
      </c>
      <c r="E6898" s="7" t="s">
        <v>34</v>
      </c>
      <c r="F6898" s="6"/>
    </row>
    <row r="6899" spans="1:6" ht="15.75" thickBot="1" x14ac:dyDescent="0.3">
      <c r="A6899" s="36"/>
      <c r="B6899" s="7" t="s">
        <v>36</v>
      </c>
      <c r="C6899" s="5">
        <f>IF(C6898="","",IF(AND(MONTH(C6898)&gt;=1,MONTH(C6898)&lt;=3),1,IF(AND(MONTH(C6898)&gt;=4,MONTH(C6898)&lt;=6),2,IF(AND(MONTH(C6898)&gt;=7,MONTH(C6898)&lt;=9),3,4))))</f>
        <v>4</v>
      </c>
      <c r="D6899" s="36"/>
      <c r="E6899" s="7" t="s">
        <v>37</v>
      </c>
      <c r="F6899" s="6"/>
    </row>
    <row r="6900" spans="1:6" ht="15.75" thickBot="1" x14ac:dyDescent="0.3">
      <c r="A6900" s="36"/>
      <c r="B6900" s="7" t="s">
        <v>39</v>
      </c>
      <c r="C6900" s="15">
        <v>45656</v>
      </c>
      <c r="D6900" s="36"/>
      <c r="E6900" s="7" t="s">
        <v>40</v>
      </c>
      <c r="F6900" s="6"/>
    </row>
    <row r="6901" spans="1:6" ht="15.75" thickBot="1" x14ac:dyDescent="0.3">
      <c r="A6901" s="36"/>
      <c r="B6901" s="7" t="s">
        <v>36</v>
      </c>
      <c r="C6901" s="5">
        <f>IF(C6900="","",IF(AND(MONTH(C6900)&gt;=1,MONTH(C6900)&lt;=3),1,IF(AND(MONTH(C6900)&gt;=4,MONTH(C6900)&lt;=6),2,IF(AND(MONTH(C6900)&gt;=7,MONTH(C6900)&lt;=9),3,4))))</f>
        <v>4</v>
      </c>
      <c r="D6901" s="36"/>
      <c r="E6901" s="7" t="s">
        <v>41</v>
      </c>
      <c r="F6901" s="6"/>
    </row>
    <row r="6902" spans="1:6" ht="15.75" thickBot="1" x14ac:dyDescent="0.3">
      <c r="A6902" s="40"/>
      <c r="B6902" s="40"/>
      <c r="C6902" s="40"/>
      <c r="D6902" s="40"/>
      <c r="E6902" s="40"/>
      <c r="F6902" s="40"/>
    </row>
    <row r="6903" spans="1:6" ht="15.75" thickBot="1" x14ac:dyDescent="0.3">
      <c r="A6903" s="12" t="s">
        <v>42</v>
      </c>
      <c r="B6903" s="12" t="s">
        <v>43</v>
      </c>
      <c r="C6903" s="12" t="s">
        <v>44</v>
      </c>
      <c r="D6903" s="12" t="s">
        <v>45</v>
      </c>
      <c r="E6903" s="12" t="s">
        <v>46</v>
      </c>
      <c r="F6903" s="12" t="s">
        <v>47</v>
      </c>
    </row>
    <row r="6904" spans="1:6" x14ac:dyDescent="0.25">
      <c r="A6904" s="8">
        <v>90121502</v>
      </c>
      <c r="B6904" s="9" t="str">
        <f ca="1">IFERROR(INDEX(UNSPSCDes,MATCH(INDIRECT(ADDRESS(ROW(),COLUMN()-1,4)),UNSPSCCode,0)),"")</f>
        <v>Agencias de viajes</v>
      </c>
      <c r="C6904" s="33" t="s">
        <v>55</v>
      </c>
      <c r="D6904" s="8">
        <v>1</v>
      </c>
      <c r="E6904" s="11">
        <v>950000</v>
      </c>
      <c r="F6904" s="10">
        <f ca="1">INDIRECT(ADDRESS(ROW(),COLUMN()-2,4))*INDIRECT(ADDRESS(ROW(),COLUMN()-1,4))</f>
        <v>950000</v>
      </c>
    </row>
    <row r="6905" spans="1:6" x14ac:dyDescent="0.25">
      <c r="A6905" s="8">
        <v>80141607</v>
      </c>
      <c r="B6905" s="9" t="str">
        <f ca="1">IFERROR(INDEX(UNSPSCDes,MATCH(INDIRECT(ADDRESS(ROW(),COLUMN()-1,4)),UNSPSCCode,0)),"")</f>
        <v>Gestión de eventos</v>
      </c>
      <c r="C6905" s="33" t="s">
        <v>55</v>
      </c>
      <c r="D6905" s="8">
        <v>1</v>
      </c>
      <c r="E6905" s="11">
        <v>800000</v>
      </c>
      <c r="F6905" s="10">
        <f ca="1">INDIRECT(ADDRESS(ROW(),COLUMN()-2,4))*INDIRECT(ADDRESS(ROW(),COLUMN()-1,4))</f>
        <v>800000</v>
      </c>
    </row>
    <row r="6906" spans="1:6" x14ac:dyDescent="0.25">
      <c r="A6906" s="40"/>
      <c r="B6906" s="40"/>
      <c r="C6906" s="40"/>
      <c r="D6906" s="40"/>
      <c r="E6906" s="13" t="s">
        <v>87</v>
      </c>
      <c r="F6906" s="14">
        <f ca="1">SUM(Table3141309[MONTO TOTAL ESTIMADO])</f>
        <v>1750000</v>
      </c>
    </row>
    <row r="6907" spans="1:6" ht="15.75" thickBot="1" x14ac:dyDescent="0.3">
      <c r="A6907" s="42"/>
      <c r="B6907" s="42"/>
      <c r="C6907" s="42"/>
      <c r="D6907" s="42"/>
      <c r="E6907" s="42"/>
      <c r="F6907" s="42"/>
    </row>
    <row r="6908" spans="1:6" ht="23.25" thickBot="1" x14ac:dyDescent="0.3">
      <c r="A6908" s="4" t="s">
        <v>19</v>
      </c>
      <c r="B6908" s="4" t="s">
        <v>20</v>
      </c>
      <c r="C6908" s="4" t="s">
        <v>21</v>
      </c>
      <c r="D6908" s="4" t="s">
        <v>22</v>
      </c>
      <c r="E6908" s="4" t="s">
        <v>23</v>
      </c>
      <c r="F6908" s="4" t="s">
        <v>24</v>
      </c>
    </row>
    <row r="6909" spans="1:6" ht="15.75" thickBot="1" x14ac:dyDescent="0.3">
      <c r="A6909" s="32" t="s">
        <v>507</v>
      </c>
      <c r="B6909" s="32" t="s">
        <v>508</v>
      </c>
      <c r="C6909" s="32" t="s">
        <v>129</v>
      </c>
      <c r="D6909" s="6" t="s">
        <v>28</v>
      </c>
      <c r="E6909" s="6" t="s">
        <v>262</v>
      </c>
      <c r="F6909" s="6"/>
    </row>
    <row r="6910" spans="1:6" ht="15.75" thickBot="1" x14ac:dyDescent="0.3">
      <c r="A6910" s="35" t="s">
        <v>31</v>
      </c>
      <c r="B6910" s="7" t="s">
        <v>32</v>
      </c>
      <c r="C6910" s="15">
        <v>45566</v>
      </c>
      <c r="D6910" s="35" t="s">
        <v>33</v>
      </c>
      <c r="E6910" s="7" t="s">
        <v>34</v>
      </c>
      <c r="F6910" s="6"/>
    </row>
    <row r="6911" spans="1:6" ht="15.75" thickBot="1" x14ac:dyDescent="0.3">
      <c r="A6911" s="36"/>
      <c r="B6911" s="7" t="s">
        <v>36</v>
      </c>
      <c r="C6911" s="5">
        <f>IF(C6910="","",IF(AND(MONTH(C6910)&gt;=1,MONTH(C6910)&lt;=3),1,IF(AND(MONTH(C6910)&gt;=4,MONTH(C6910)&lt;=6),2,IF(AND(MONTH(C6910)&gt;=7,MONTH(C6910)&lt;=9),3,4))))</f>
        <v>4</v>
      </c>
      <c r="D6911" s="36"/>
      <c r="E6911" s="7" t="s">
        <v>37</v>
      </c>
      <c r="F6911" s="6"/>
    </row>
    <row r="6912" spans="1:6" ht="15.75" thickBot="1" x14ac:dyDescent="0.3">
      <c r="A6912" s="36"/>
      <c r="B6912" s="7" t="s">
        <v>39</v>
      </c>
      <c r="C6912" s="15">
        <v>45656</v>
      </c>
      <c r="D6912" s="36"/>
      <c r="E6912" s="7" t="s">
        <v>40</v>
      </c>
      <c r="F6912" s="6"/>
    </row>
    <row r="6913" spans="1:6" ht="15.75" thickBot="1" x14ac:dyDescent="0.3">
      <c r="A6913" s="36"/>
      <c r="B6913" s="7" t="s">
        <v>36</v>
      </c>
      <c r="C6913" s="5">
        <f>IF(C6912="","",IF(AND(MONTH(C6912)&gt;=1,MONTH(C6912)&lt;=3),1,IF(AND(MONTH(C6912)&gt;=4,MONTH(C6912)&lt;=6),2,IF(AND(MONTH(C6912)&gt;=7,MONTH(C6912)&lt;=9),3,4))))</f>
        <v>4</v>
      </c>
      <c r="D6913" s="36"/>
      <c r="E6913" s="7" t="s">
        <v>41</v>
      </c>
      <c r="F6913" s="6"/>
    </row>
    <row r="6914" spans="1:6" ht="15.75" thickBot="1" x14ac:dyDescent="0.3">
      <c r="A6914" s="40"/>
      <c r="B6914" s="40"/>
      <c r="C6914" s="40"/>
      <c r="D6914" s="40"/>
      <c r="E6914" s="40"/>
      <c r="F6914" s="40"/>
    </row>
    <row r="6915" spans="1:6" ht="15.75" thickBot="1" x14ac:dyDescent="0.3">
      <c r="A6915" s="12" t="s">
        <v>42</v>
      </c>
      <c r="B6915" s="12" t="s">
        <v>43</v>
      </c>
      <c r="C6915" s="12" t="s">
        <v>44</v>
      </c>
      <c r="D6915" s="12" t="s">
        <v>45</v>
      </c>
      <c r="E6915" s="12" t="s">
        <v>46</v>
      </c>
      <c r="F6915" s="12" t="s">
        <v>47</v>
      </c>
    </row>
    <row r="6916" spans="1:6" x14ac:dyDescent="0.25">
      <c r="A6916" s="8">
        <v>80131502</v>
      </c>
      <c r="B6916" s="9" t="str">
        <f ca="1">IFERROR(INDEX(UNSPSCDes,MATCH(INDIRECT(ADDRESS(ROW(),COLUMN()-1,4)),UNSPSCCode,0)),"")</f>
        <v>Arrendamiento de instalaciones comerciales o industriales</v>
      </c>
      <c r="C6916" s="33" t="s">
        <v>55</v>
      </c>
      <c r="D6916" s="8">
        <v>1</v>
      </c>
      <c r="E6916" s="11">
        <v>1750000</v>
      </c>
      <c r="F6916" s="10">
        <f ca="1">INDIRECT(ADDRESS(ROW(),COLUMN()-2,4))*INDIRECT(ADDRESS(ROW(),COLUMN()-1,4))</f>
        <v>1750000</v>
      </c>
    </row>
    <row r="6917" spans="1:6" x14ac:dyDescent="0.25">
      <c r="A6917" s="40"/>
      <c r="B6917" s="40"/>
      <c r="C6917" s="40"/>
      <c r="D6917" s="40"/>
      <c r="E6917" s="13" t="s">
        <v>87</v>
      </c>
      <c r="F6917" s="14">
        <f ca="1">SUM(Table3142310[MONTO TOTAL ESTIMADO])</f>
        <v>1750000</v>
      </c>
    </row>
    <row r="6918" spans="1:6" ht="15.75" thickBot="1" x14ac:dyDescent="0.3">
      <c r="A6918" s="42"/>
      <c r="B6918" s="42"/>
      <c r="C6918" s="42"/>
      <c r="D6918" s="42"/>
      <c r="E6918" s="42"/>
      <c r="F6918" s="42"/>
    </row>
    <row r="6919" spans="1:6" ht="23.25" thickBot="1" x14ac:dyDescent="0.3">
      <c r="A6919" s="4" t="s">
        <v>19</v>
      </c>
      <c r="B6919" s="4" t="s">
        <v>20</v>
      </c>
      <c r="C6919" s="4" t="s">
        <v>21</v>
      </c>
      <c r="D6919" s="4" t="s">
        <v>22</v>
      </c>
      <c r="E6919" s="4" t="s">
        <v>23</v>
      </c>
      <c r="F6919" s="4" t="s">
        <v>24</v>
      </c>
    </row>
    <row r="6920" spans="1:6" ht="15.75" thickBot="1" x14ac:dyDescent="0.3">
      <c r="A6920" s="32" t="s">
        <v>501</v>
      </c>
      <c r="B6920" s="32" t="s">
        <v>490</v>
      </c>
      <c r="C6920" s="32" t="s">
        <v>27</v>
      </c>
      <c r="D6920" s="6" t="s">
        <v>28</v>
      </c>
      <c r="E6920" s="6" t="s">
        <v>262</v>
      </c>
      <c r="F6920" s="6"/>
    </row>
    <row r="6921" spans="1:6" ht="15.75" thickBot="1" x14ac:dyDescent="0.3">
      <c r="A6921" s="35" t="s">
        <v>31</v>
      </c>
      <c r="B6921" s="7" t="s">
        <v>32</v>
      </c>
      <c r="C6921" s="15">
        <v>45566</v>
      </c>
      <c r="D6921" s="35" t="s">
        <v>33</v>
      </c>
      <c r="E6921" s="7" t="s">
        <v>34</v>
      </c>
      <c r="F6921" s="6"/>
    </row>
    <row r="6922" spans="1:6" ht="15.75" thickBot="1" x14ac:dyDescent="0.3">
      <c r="A6922" s="36"/>
      <c r="B6922" s="7" t="s">
        <v>36</v>
      </c>
      <c r="C6922" s="5">
        <f>IF(C6921="","",IF(AND(MONTH(C6921)&gt;=1,MONTH(C6921)&lt;=3),1,IF(AND(MONTH(C6921)&gt;=4,MONTH(C6921)&lt;=6),2,IF(AND(MONTH(C6921)&gt;=7,MONTH(C6921)&lt;=9),3,4))))</f>
        <v>4</v>
      </c>
      <c r="D6922" s="36"/>
      <c r="E6922" s="7" t="s">
        <v>37</v>
      </c>
      <c r="F6922" s="6"/>
    </row>
    <row r="6923" spans="1:6" ht="15.75" thickBot="1" x14ac:dyDescent="0.3">
      <c r="A6923" s="36"/>
      <c r="B6923" s="7" t="s">
        <v>39</v>
      </c>
      <c r="C6923" s="15">
        <v>45656</v>
      </c>
      <c r="D6923" s="36"/>
      <c r="E6923" s="7" t="s">
        <v>40</v>
      </c>
      <c r="F6923" s="6"/>
    </row>
    <row r="6924" spans="1:6" ht="15.75" thickBot="1" x14ac:dyDescent="0.3">
      <c r="A6924" s="36"/>
      <c r="B6924" s="7" t="s">
        <v>36</v>
      </c>
      <c r="C6924" s="5">
        <f>IF(C6923="","",IF(AND(MONTH(C6923)&gt;=1,MONTH(C6923)&lt;=3),1,IF(AND(MONTH(C6923)&gt;=4,MONTH(C6923)&lt;=6),2,IF(AND(MONTH(C6923)&gt;=7,MONTH(C6923)&lt;=9),3,4))))</f>
        <v>4</v>
      </c>
      <c r="D6924" s="36"/>
      <c r="E6924" s="7" t="s">
        <v>41</v>
      </c>
      <c r="F6924" s="6"/>
    </row>
    <row r="6925" spans="1:6" ht="15.75" thickBot="1" x14ac:dyDescent="0.3">
      <c r="A6925" s="40"/>
      <c r="B6925" s="40"/>
      <c r="C6925" s="40"/>
      <c r="D6925" s="40"/>
      <c r="E6925" s="40"/>
      <c r="F6925" s="40"/>
    </row>
    <row r="6926" spans="1:6" ht="15.75" thickBot="1" x14ac:dyDescent="0.3">
      <c r="A6926" s="12" t="s">
        <v>42</v>
      </c>
      <c r="B6926" s="12" t="s">
        <v>43</v>
      </c>
      <c r="C6926" s="12" t="s">
        <v>44</v>
      </c>
      <c r="D6926" s="12" t="s">
        <v>45</v>
      </c>
      <c r="E6926" s="12" t="s">
        <v>46</v>
      </c>
      <c r="F6926" s="12" t="s">
        <v>47</v>
      </c>
    </row>
    <row r="6927" spans="1:6" x14ac:dyDescent="0.25">
      <c r="A6927" s="8">
        <v>14111514</v>
      </c>
      <c r="B6927" s="9" t="str">
        <f t="shared" ref="B6927:B6937" ca="1" si="157">IFERROR(INDEX(UNSPSCDes,MATCH(INDIRECT(ADDRESS(ROW(),COLUMN()-1,4)),UNSPSCCode,0)),"")</f>
        <v>Blocs o cuadernos de papel</v>
      </c>
      <c r="C6927" s="33" t="s">
        <v>55</v>
      </c>
      <c r="D6927" s="8">
        <v>2400</v>
      </c>
      <c r="E6927" s="11">
        <v>92.04</v>
      </c>
      <c r="F6927" s="10">
        <f t="shared" ref="F6927:F6937" ca="1" si="158">INDIRECT(ADDRESS(ROW(),COLUMN()-2,4))*INDIRECT(ADDRESS(ROW(),COLUMN()-1,4))</f>
        <v>220896.00000000003</v>
      </c>
    </row>
    <row r="6928" spans="1:6" x14ac:dyDescent="0.25">
      <c r="A6928" s="8">
        <v>44121706</v>
      </c>
      <c r="B6928" s="9" t="str">
        <f t="shared" ca="1" si="157"/>
        <v>Lápices de madera</v>
      </c>
      <c r="C6928" s="33" t="s">
        <v>49</v>
      </c>
      <c r="D6928" s="8">
        <v>100</v>
      </c>
      <c r="E6928" s="11">
        <v>88.6</v>
      </c>
      <c r="F6928" s="10">
        <f t="shared" ca="1" si="158"/>
        <v>8860</v>
      </c>
    </row>
    <row r="6929" spans="1:6" x14ac:dyDescent="0.25">
      <c r="A6929" s="8">
        <v>44121701</v>
      </c>
      <c r="B6929" s="9" t="str">
        <f t="shared" ca="1" si="157"/>
        <v>Bolígrafos</v>
      </c>
      <c r="C6929" s="33" t="s">
        <v>49</v>
      </c>
      <c r="D6929" s="8">
        <v>100</v>
      </c>
      <c r="E6929" s="11">
        <v>109.84</v>
      </c>
      <c r="F6929" s="10">
        <f t="shared" ca="1" si="158"/>
        <v>10984</v>
      </c>
    </row>
    <row r="6930" spans="1:6" x14ac:dyDescent="0.25">
      <c r="A6930" s="8">
        <v>53121603</v>
      </c>
      <c r="B6930" s="9" t="str">
        <f t="shared" ca="1" si="157"/>
        <v>Morrales</v>
      </c>
      <c r="C6930" s="33" t="s">
        <v>55</v>
      </c>
      <c r="D6930" s="8">
        <v>600</v>
      </c>
      <c r="E6930" s="11">
        <v>973.5</v>
      </c>
      <c r="F6930" s="10">
        <f t="shared" ca="1" si="158"/>
        <v>584100</v>
      </c>
    </row>
    <row r="6931" spans="1:6" x14ac:dyDescent="0.25">
      <c r="A6931" s="8">
        <v>44121804</v>
      </c>
      <c r="B6931" s="9" t="str">
        <f t="shared" ca="1" si="157"/>
        <v>Borradores</v>
      </c>
      <c r="C6931" s="33" t="s">
        <v>55</v>
      </c>
      <c r="D6931" s="8">
        <v>600</v>
      </c>
      <c r="E6931" s="11">
        <v>51.92</v>
      </c>
      <c r="F6931" s="10">
        <f t="shared" ca="1" si="158"/>
        <v>31152</v>
      </c>
    </row>
    <row r="6932" spans="1:6" x14ac:dyDescent="0.25">
      <c r="A6932" s="8">
        <v>44121619</v>
      </c>
      <c r="B6932" s="9" t="str">
        <f t="shared" ca="1" si="157"/>
        <v>Tajalápices manuales</v>
      </c>
      <c r="C6932" s="33" t="s">
        <v>55</v>
      </c>
      <c r="D6932" s="8">
        <v>600</v>
      </c>
      <c r="E6932" s="11">
        <v>23.6</v>
      </c>
      <c r="F6932" s="10">
        <f t="shared" ca="1" si="158"/>
        <v>14160</v>
      </c>
    </row>
    <row r="6933" spans="1:6" x14ac:dyDescent="0.25">
      <c r="A6933" s="8">
        <v>44111509</v>
      </c>
      <c r="B6933" s="9" t="str">
        <f t="shared" ca="1" si="157"/>
        <v>Sujetadores de esferos o lápices</v>
      </c>
      <c r="C6933" s="33" t="s">
        <v>55</v>
      </c>
      <c r="D6933" s="8">
        <v>600</v>
      </c>
      <c r="E6933" s="11">
        <v>135.69999999999999</v>
      </c>
      <c r="F6933" s="10">
        <f t="shared" ca="1" si="158"/>
        <v>81420</v>
      </c>
    </row>
    <row r="6934" spans="1:6" x14ac:dyDescent="0.25">
      <c r="A6934" s="8">
        <v>52152002</v>
      </c>
      <c r="B6934" s="9" t="str">
        <f t="shared" ca="1" si="157"/>
        <v>Contenedores para almacenar alimentos para uso doméstico</v>
      </c>
      <c r="C6934" s="33" t="s">
        <v>55</v>
      </c>
      <c r="D6934" s="8">
        <v>600</v>
      </c>
      <c r="E6934" s="11">
        <v>722.75</v>
      </c>
      <c r="F6934" s="10">
        <f t="shared" ca="1" si="158"/>
        <v>433650</v>
      </c>
    </row>
    <row r="6935" spans="1:6" x14ac:dyDescent="0.25">
      <c r="A6935" s="8">
        <v>44111803</v>
      </c>
      <c r="B6935" s="9" t="str">
        <f t="shared" ca="1" si="157"/>
        <v>Compases</v>
      </c>
      <c r="C6935" s="33" t="s">
        <v>55</v>
      </c>
      <c r="D6935" s="8">
        <v>600</v>
      </c>
      <c r="E6935" s="11">
        <v>45.78</v>
      </c>
      <c r="F6935" s="10">
        <f t="shared" ca="1" si="158"/>
        <v>27468</v>
      </c>
    </row>
    <row r="6936" spans="1:6" x14ac:dyDescent="0.25">
      <c r="A6936" s="8">
        <v>44111812</v>
      </c>
      <c r="B6936" s="9" t="str">
        <f t="shared" ca="1" si="157"/>
        <v>Kits o sets de dibujo</v>
      </c>
      <c r="C6936" s="33" t="s">
        <v>55</v>
      </c>
      <c r="D6936" s="8">
        <v>600</v>
      </c>
      <c r="E6936" s="11">
        <v>37.909999999999997</v>
      </c>
      <c r="F6936" s="10">
        <f t="shared" ca="1" si="158"/>
        <v>22745.999999999996</v>
      </c>
    </row>
    <row r="6937" spans="1:6" x14ac:dyDescent="0.25">
      <c r="A6937" s="8">
        <v>44121707</v>
      </c>
      <c r="B6937" s="9" t="str">
        <f t="shared" ca="1" si="157"/>
        <v>Lápices de colores</v>
      </c>
      <c r="C6937" s="33" t="s">
        <v>49</v>
      </c>
      <c r="D6937" s="8">
        <v>600</v>
      </c>
      <c r="E6937" s="11">
        <v>107.43</v>
      </c>
      <c r="F6937" s="10">
        <f t="shared" ca="1" si="158"/>
        <v>64458.000000000007</v>
      </c>
    </row>
    <row r="6938" spans="1:6" x14ac:dyDescent="0.25">
      <c r="A6938" s="40"/>
      <c r="B6938" s="40"/>
      <c r="C6938" s="40"/>
      <c r="D6938" s="40"/>
      <c r="E6938" s="13" t="s">
        <v>87</v>
      </c>
      <c r="F6938" s="14">
        <f ca="1">SUM(Table3143311[MONTO TOTAL ESTIMADO])</f>
        <v>1499894</v>
      </c>
    </row>
    <row r="6939" spans="1:6" ht="15.75" thickBot="1" x14ac:dyDescent="0.3">
      <c r="A6939" s="42"/>
      <c r="B6939" s="42"/>
      <c r="C6939" s="42"/>
      <c r="D6939" s="42"/>
      <c r="E6939" s="42"/>
      <c r="F6939" s="42"/>
    </row>
    <row r="6940" spans="1:6" ht="23.25" thickBot="1" x14ac:dyDescent="0.3">
      <c r="A6940" s="4" t="s">
        <v>19</v>
      </c>
      <c r="B6940" s="4" t="s">
        <v>20</v>
      </c>
      <c r="C6940" s="4" t="s">
        <v>21</v>
      </c>
      <c r="D6940" s="4" t="s">
        <v>22</v>
      </c>
      <c r="E6940" s="4" t="s">
        <v>23</v>
      </c>
      <c r="F6940" s="4" t="s">
        <v>24</v>
      </c>
    </row>
    <row r="6941" spans="1:6" ht="15.75" thickBot="1" x14ac:dyDescent="0.3">
      <c r="A6941" s="32" t="s">
        <v>510</v>
      </c>
      <c r="B6941" s="32" t="s">
        <v>511</v>
      </c>
      <c r="C6941" s="32" t="s">
        <v>27</v>
      </c>
      <c r="D6941" s="6" t="s">
        <v>28</v>
      </c>
      <c r="E6941" s="6" t="s">
        <v>262</v>
      </c>
      <c r="F6941" s="6"/>
    </row>
    <row r="6942" spans="1:6" ht="15.75" thickBot="1" x14ac:dyDescent="0.3">
      <c r="A6942" s="35" t="s">
        <v>31</v>
      </c>
      <c r="B6942" s="7" t="s">
        <v>32</v>
      </c>
      <c r="C6942" s="15">
        <v>45566</v>
      </c>
      <c r="D6942" s="35" t="s">
        <v>33</v>
      </c>
      <c r="E6942" s="7" t="s">
        <v>34</v>
      </c>
      <c r="F6942" s="6"/>
    </row>
    <row r="6943" spans="1:6" ht="15.75" thickBot="1" x14ac:dyDescent="0.3">
      <c r="A6943" s="36"/>
      <c r="B6943" s="7" t="s">
        <v>36</v>
      </c>
      <c r="C6943" s="5">
        <f>IF(C6942="","",IF(AND(MONTH(C6942)&gt;=1,MONTH(C6942)&lt;=3),1,IF(AND(MONTH(C6942)&gt;=4,MONTH(C6942)&lt;=6),2,IF(AND(MONTH(C6942)&gt;=7,MONTH(C6942)&lt;=9),3,4))))</f>
        <v>4</v>
      </c>
      <c r="D6943" s="36"/>
      <c r="E6943" s="7" t="s">
        <v>37</v>
      </c>
      <c r="F6943" s="6"/>
    </row>
    <row r="6944" spans="1:6" ht="15.75" thickBot="1" x14ac:dyDescent="0.3">
      <c r="A6944" s="36"/>
      <c r="B6944" s="7" t="s">
        <v>39</v>
      </c>
      <c r="C6944" s="15">
        <v>45656</v>
      </c>
      <c r="D6944" s="36"/>
      <c r="E6944" s="7" t="s">
        <v>40</v>
      </c>
      <c r="F6944" s="6"/>
    </row>
    <row r="6945" spans="1:6" ht="15.75" thickBot="1" x14ac:dyDescent="0.3">
      <c r="A6945" s="36"/>
      <c r="B6945" s="7" t="s">
        <v>36</v>
      </c>
      <c r="C6945" s="5">
        <f>IF(C6944="","",IF(AND(MONTH(C6944)&gt;=1,MONTH(C6944)&lt;=3),1,IF(AND(MONTH(C6944)&gt;=4,MONTH(C6944)&lt;=6),2,IF(AND(MONTH(C6944)&gt;=7,MONTH(C6944)&lt;=9),3,4))))</f>
        <v>4</v>
      </c>
      <c r="D6945" s="36"/>
      <c r="E6945" s="7" t="s">
        <v>41</v>
      </c>
      <c r="F6945" s="6"/>
    </row>
    <row r="6946" spans="1:6" ht="15.75" thickBot="1" x14ac:dyDescent="0.3">
      <c r="A6946" s="40"/>
      <c r="B6946" s="40"/>
      <c r="C6946" s="40"/>
      <c r="D6946" s="40"/>
      <c r="E6946" s="40"/>
      <c r="F6946" s="40"/>
    </row>
    <row r="6947" spans="1:6" ht="15.75" thickBot="1" x14ac:dyDescent="0.3">
      <c r="A6947" s="12" t="s">
        <v>42</v>
      </c>
      <c r="B6947" s="12" t="s">
        <v>43</v>
      </c>
      <c r="C6947" s="12" t="s">
        <v>44</v>
      </c>
      <c r="D6947" s="12" t="s">
        <v>45</v>
      </c>
      <c r="E6947" s="12" t="s">
        <v>46</v>
      </c>
      <c r="F6947" s="12" t="s">
        <v>47</v>
      </c>
    </row>
    <row r="6948" spans="1:6" x14ac:dyDescent="0.25">
      <c r="A6948" s="8">
        <v>49161608</v>
      </c>
      <c r="B6948" s="9" t="str">
        <f t="shared" ref="B6948:B6965" ca="1" si="159">IFERROR(INDEX(UNSPSCDes,MATCH(INDIRECT(ADDRESS(ROW(),COLUMN()-1,4)),UNSPSCCode,0)),"")</f>
        <v>Balones de voleibol</v>
      </c>
      <c r="C6948" s="33" t="s">
        <v>55</v>
      </c>
      <c r="D6948" s="8">
        <v>100</v>
      </c>
      <c r="E6948" s="11">
        <v>1593</v>
      </c>
      <c r="F6948" s="10">
        <f t="shared" ref="F6948:F6965" ca="1" si="160">INDIRECT(ADDRESS(ROW(),COLUMN()-2,4))*INDIRECT(ADDRESS(ROW(),COLUMN()-1,4))</f>
        <v>159300</v>
      </c>
    </row>
    <row r="6949" spans="1:6" x14ac:dyDescent="0.25">
      <c r="A6949" s="8">
        <v>49161603</v>
      </c>
      <c r="B6949" s="9" t="str">
        <f t="shared" ca="1" si="159"/>
        <v>Pelotas de básquetbol</v>
      </c>
      <c r="C6949" s="33" t="s">
        <v>55</v>
      </c>
      <c r="D6949" s="8">
        <v>30</v>
      </c>
      <c r="E6949" s="11">
        <v>1640</v>
      </c>
      <c r="F6949" s="10">
        <f t="shared" ca="1" si="160"/>
        <v>49200</v>
      </c>
    </row>
    <row r="6950" spans="1:6" x14ac:dyDescent="0.25">
      <c r="A6950" s="8">
        <v>49161603</v>
      </c>
      <c r="B6950" s="9" t="str">
        <f t="shared" ca="1" si="159"/>
        <v>Pelotas de básquetbol</v>
      </c>
      <c r="C6950" s="33" t="s">
        <v>55</v>
      </c>
      <c r="D6950" s="8">
        <v>100</v>
      </c>
      <c r="E6950" s="11">
        <v>1593</v>
      </c>
      <c r="F6950" s="10">
        <f t="shared" ca="1" si="160"/>
        <v>159300</v>
      </c>
    </row>
    <row r="6951" spans="1:6" x14ac:dyDescent="0.25">
      <c r="A6951" s="8">
        <v>49161503</v>
      </c>
      <c r="B6951" s="9" t="str">
        <f t="shared" ca="1" si="159"/>
        <v>Pelotas de beisbol</v>
      </c>
      <c r="C6951" s="33" t="s">
        <v>55</v>
      </c>
      <c r="D6951" s="8">
        <v>100</v>
      </c>
      <c r="E6951" s="11">
        <v>425</v>
      </c>
      <c r="F6951" s="10">
        <f t="shared" ca="1" si="160"/>
        <v>42500</v>
      </c>
    </row>
    <row r="6952" spans="1:6" x14ac:dyDescent="0.25">
      <c r="A6952" s="8">
        <v>49161509</v>
      </c>
      <c r="B6952" s="9" t="str">
        <f t="shared" ca="1" si="159"/>
        <v>Balones de softbol</v>
      </c>
      <c r="C6952" s="33" t="s">
        <v>55</v>
      </c>
      <c r="D6952" s="8">
        <v>100</v>
      </c>
      <c r="E6952" s="11">
        <v>477.9</v>
      </c>
      <c r="F6952" s="10">
        <f t="shared" ca="1" si="160"/>
        <v>47790</v>
      </c>
    </row>
    <row r="6953" spans="1:6" x14ac:dyDescent="0.25">
      <c r="A6953" s="8">
        <v>49161504</v>
      </c>
      <c r="B6953" s="9" t="str">
        <f t="shared" ca="1" si="159"/>
        <v>Balones de futbol</v>
      </c>
      <c r="C6953" s="33" t="s">
        <v>55</v>
      </c>
      <c r="D6953" s="8">
        <v>50</v>
      </c>
      <c r="E6953" s="11">
        <v>1593</v>
      </c>
      <c r="F6953" s="10">
        <f t="shared" ca="1" si="160"/>
        <v>79650</v>
      </c>
    </row>
    <row r="6954" spans="1:6" x14ac:dyDescent="0.25">
      <c r="A6954" s="8">
        <v>49161504</v>
      </c>
      <c r="B6954" s="9" t="str">
        <f t="shared" ca="1" si="159"/>
        <v>Balones de futbol</v>
      </c>
      <c r="C6954" s="33" t="s">
        <v>55</v>
      </c>
      <c r="D6954" s="8">
        <v>60</v>
      </c>
      <c r="E6954" s="11">
        <v>1593</v>
      </c>
      <c r="F6954" s="10">
        <f t="shared" ca="1" si="160"/>
        <v>95580</v>
      </c>
    </row>
    <row r="6955" spans="1:6" x14ac:dyDescent="0.25">
      <c r="A6955" s="8">
        <v>49221502</v>
      </c>
      <c r="B6955" s="9" t="str">
        <f t="shared" ca="1" si="159"/>
        <v>Porterías</v>
      </c>
      <c r="C6955" s="33" t="s">
        <v>55</v>
      </c>
      <c r="D6955" s="8">
        <v>30</v>
      </c>
      <c r="E6955" s="11">
        <v>1416</v>
      </c>
      <c r="F6955" s="10">
        <f t="shared" ca="1" si="160"/>
        <v>42480</v>
      </c>
    </row>
    <row r="6956" spans="1:6" x14ac:dyDescent="0.25">
      <c r="A6956" s="8">
        <v>49181509</v>
      </c>
      <c r="B6956" s="9" t="str">
        <f t="shared" ca="1" si="159"/>
        <v>Bolas de ping pong</v>
      </c>
      <c r="C6956" s="33" t="s">
        <v>55</v>
      </c>
      <c r="D6956" s="8">
        <v>100</v>
      </c>
      <c r="E6956" s="11">
        <v>94.4</v>
      </c>
      <c r="F6956" s="10">
        <f t="shared" ca="1" si="160"/>
        <v>9440</v>
      </c>
    </row>
    <row r="6957" spans="1:6" x14ac:dyDescent="0.25">
      <c r="A6957" s="8">
        <v>49161603</v>
      </c>
      <c r="B6957" s="9" t="str">
        <f t="shared" ca="1" si="159"/>
        <v>Pelotas de básquetbol</v>
      </c>
      <c r="C6957" s="33" t="s">
        <v>55</v>
      </c>
      <c r="D6957" s="8">
        <v>50</v>
      </c>
      <c r="E6957" s="11">
        <v>2950</v>
      </c>
      <c r="F6957" s="10">
        <f t="shared" ca="1" si="160"/>
        <v>147500</v>
      </c>
    </row>
    <row r="6958" spans="1:6" x14ac:dyDescent="0.25">
      <c r="A6958" s="8">
        <v>49161603</v>
      </c>
      <c r="B6958" s="9" t="str">
        <f t="shared" ca="1" si="159"/>
        <v>Pelotas de básquetbol</v>
      </c>
      <c r="C6958" s="33" t="s">
        <v>55</v>
      </c>
      <c r="D6958" s="8">
        <v>25</v>
      </c>
      <c r="E6958" s="11">
        <v>3304</v>
      </c>
      <c r="F6958" s="10">
        <f t="shared" ca="1" si="160"/>
        <v>82600</v>
      </c>
    </row>
    <row r="6959" spans="1:6" x14ac:dyDescent="0.25">
      <c r="A6959" s="8">
        <v>49161503</v>
      </c>
      <c r="B6959" s="9" t="str">
        <f t="shared" ca="1" si="159"/>
        <v>Pelotas de beisbol</v>
      </c>
      <c r="C6959" s="33" t="s">
        <v>55</v>
      </c>
      <c r="D6959" s="8">
        <v>25</v>
      </c>
      <c r="E6959" s="11">
        <v>295</v>
      </c>
      <c r="F6959" s="10">
        <f t="shared" ca="1" si="160"/>
        <v>7375</v>
      </c>
    </row>
    <row r="6960" spans="1:6" x14ac:dyDescent="0.25">
      <c r="A6960" s="8">
        <v>49221507</v>
      </c>
      <c r="B6960" s="9" t="str">
        <f t="shared" ca="1" si="159"/>
        <v>Tableros de basquetbol</v>
      </c>
      <c r="C6960" s="33" t="s">
        <v>55</v>
      </c>
      <c r="D6960" s="8">
        <v>10</v>
      </c>
      <c r="E6960" s="11">
        <v>41300</v>
      </c>
      <c r="F6960" s="10">
        <f t="shared" ca="1" si="160"/>
        <v>413000</v>
      </c>
    </row>
    <row r="6961" spans="1:6" x14ac:dyDescent="0.25">
      <c r="A6961" s="8">
        <v>49221505</v>
      </c>
      <c r="B6961" s="9" t="str">
        <f t="shared" ca="1" si="159"/>
        <v>Mallas o redes para deportes</v>
      </c>
      <c r="C6961" s="33" t="s">
        <v>55</v>
      </c>
      <c r="D6961" s="8">
        <v>25</v>
      </c>
      <c r="E6961" s="11">
        <v>241.9</v>
      </c>
      <c r="F6961" s="10">
        <f t="shared" ca="1" si="160"/>
        <v>6047.5</v>
      </c>
    </row>
    <row r="6962" spans="1:6" x14ac:dyDescent="0.25">
      <c r="A6962" s="8">
        <v>49161506</v>
      </c>
      <c r="B6962" s="9" t="str">
        <f t="shared" ca="1" si="159"/>
        <v>Bates de beisbol</v>
      </c>
      <c r="C6962" s="33" t="s">
        <v>55</v>
      </c>
      <c r="D6962" s="8">
        <v>25</v>
      </c>
      <c r="E6962" s="11">
        <v>5074</v>
      </c>
      <c r="F6962" s="10">
        <f t="shared" ca="1" si="160"/>
        <v>126850</v>
      </c>
    </row>
    <row r="6963" spans="1:6" x14ac:dyDescent="0.25">
      <c r="A6963" s="8">
        <v>49161520</v>
      </c>
      <c r="B6963" s="9" t="str">
        <f t="shared" ca="1" si="159"/>
        <v>Bates de softbol</v>
      </c>
      <c r="C6963" s="33" t="s">
        <v>55</v>
      </c>
      <c r="D6963" s="8">
        <v>10</v>
      </c>
      <c r="E6963" s="11">
        <v>4277.5</v>
      </c>
      <c r="F6963" s="10">
        <f t="shared" ca="1" si="160"/>
        <v>42775</v>
      </c>
    </row>
    <row r="6964" spans="1:6" x14ac:dyDescent="0.25">
      <c r="A6964" s="8">
        <v>49161608</v>
      </c>
      <c r="B6964" s="9" t="str">
        <f t="shared" ca="1" si="159"/>
        <v>Balones de voleibol</v>
      </c>
      <c r="C6964" s="33" t="s">
        <v>55</v>
      </c>
      <c r="D6964" s="8">
        <v>50</v>
      </c>
      <c r="E6964" s="11">
        <v>1800</v>
      </c>
      <c r="F6964" s="10">
        <f t="shared" ca="1" si="160"/>
        <v>90000</v>
      </c>
    </row>
    <row r="6965" spans="1:6" x14ac:dyDescent="0.25">
      <c r="A6965" s="8">
        <v>49161506</v>
      </c>
      <c r="B6965" s="9" t="str">
        <f t="shared" ca="1" si="159"/>
        <v>Bates de beisbol</v>
      </c>
      <c r="C6965" s="33" t="s">
        <v>55</v>
      </c>
      <c r="D6965" s="8">
        <v>15</v>
      </c>
      <c r="E6965" s="11">
        <v>4074</v>
      </c>
      <c r="F6965" s="10">
        <f t="shared" ca="1" si="160"/>
        <v>61110</v>
      </c>
    </row>
    <row r="6966" spans="1:6" x14ac:dyDescent="0.25">
      <c r="A6966" s="40"/>
      <c r="B6966" s="40"/>
      <c r="C6966" s="40"/>
      <c r="D6966" s="40"/>
      <c r="E6966" s="13" t="s">
        <v>87</v>
      </c>
      <c r="F6966" s="14">
        <f ca="1">SUM(Table3145312[MONTO TOTAL ESTIMADO])</f>
        <v>1662497.5</v>
      </c>
    </row>
    <row r="6967" spans="1:6" ht="15.75" thickBot="1" x14ac:dyDescent="0.3">
      <c r="A6967" s="42"/>
      <c r="B6967" s="42"/>
      <c r="C6967" s="42"/>
      <c r="D6967" s="42"/>
      <c r="E6967" s="42"/>
      <c r="F6967" s="42"/>
    </row>
    <row r="6968" spans="1:6" ht="23.25" thickBot="1" x14ac:dyDescent="0.3">
      <c r="A6968" s="4" t="s">
        <v>19</v>
      </c>
      <c r="B6968" s="4" t="s">
        <v>20</v>
      </c>
      <c r="C6968" s="4" t="s">
        <v>21</v>
      </c>
      <c r="D6968" s="4" t="s">
        <v>22</v>
      </c>
      <c r="E6968" s="4" t="s">
        <v>23</v>
      </c>
      <c r="F6968" s="4" t="s">
        <v>24</v>
      </c>
    </row>
    <row r="6969" spans="1:6" ht="15.75" thickBot="1" x14ac:dyDescent="0.3">
      <c r="A6969" s="32" t="s">
        <v>523</v>
      </c>
      <c r="B6969" s="32" t="s">
        <v>524</v>
      </c>
      <c r="C6969" s="32" t="s">
        <v>27</v>
      </c>
      <c r="D6969" s="6" t="s">
        <v>28</v>
      </c>
      <c r="E6969" s="6" t="s">
        <v>262</v>
      </c>
      <c r="F6969" s="6"/>
    </row>
    <row r="6970" spans="1:6" ht="15.75" thickBot="1" x14ac:dyDescent="0.3">
      <c r="A6970" s="35" t="s">
        <v>31</v>
      </c>
      <c r="B6970" s="7" t="s">
        <v>32</v>
      </c>
      <c r="C6970" s="15">
        <v>45566</v>
      </c>
      <c r="D6970" s="35" t="s">
        <v>33</v>
      </c>
      <c r="E6970" s="7" t="s">
        <v>34</v>
      </c>
      <c r="F6970" s="6"/>
    </row>
    <row r="6971" spans="1:6" ht="15.75" thickBot="1" x14ac:dyDescent="0.3">
      <c r="A6971" s="36"/>
      <c r="B6971" s="7" t="s">
        <v>36</v>
      </c>
      <c r="C6971" s="5">
        <f>IF(C6970="","",IF(AND(MONTH(C6970)&gt;=1,MONTH(C6970)&lt;=3),1,IF(AND(MONTH(C6970)&gt;=4,MONTH(C6970)&lt;=6),2,IF(AND(MONTH(C6970)&gt;=7,MONTH(C6970)&lt;=9),3,4))))</f>
        <v>4</v>
      </c>
      <c r="D6971" s="36"/>
      <c r="E6971" s="7" t="s">
        <v>37</v>
      </c>
      <c r="F6971" s="6"/>
    </row>
    <row r="6972" spans="1:6" ht="15.75" thickBot="1" x14ac:dyDescent="0.3">
      <c r="A6972" s="36"/>
      <c r="B6972" s="7" t="s">
        <v>39</v>
      </c>
      <c r="C6972" s="15">
        <v>45656</v>
      </c>
      <c r="D6972" s="36"/>
      <c r="E6972" s="7" t="s">
        <v>40</v>
      </c>
      <c r="F6972" s="6"/>
    </row>
    <row r="6973" spans="1:6" ht="15.75" thickBot="1" x14ac:dyDescent="0.3">
      <c r="A6973" s="36"/>
      <c r="B6973" s="7" t="s">
        <v>36</v>
      </c>
      <c r="C6973" s="5">
        <f>IF(C6972="","",IF(AND(MONTH(C6972)&gt;=1,MONTH(C6972)&lt;=3),1,IF(AND(MONTH(C6972)&gt;=4,MONTH(C6972)&lt;=6),2,IF(AND(MONTH(C6972)&gt;=7,MONTH(C6972)&lt;=9),3,4))))</f>
        <v>4</v>
      </c>
      <c r="D6973" s="36"/>
      <c r="E6973" s="7" t="s">
        <v>41</v>
      </c>
      <c r="F6973" s="6"/>
    </row>
    <row r="6974" spans="1:6" ht="15.75" thickBot="1" x14ac:dyDescent="0.3">
      <c r="A6974" s="40"/>
      <c r="B6974" s="40"/>
      <c r="C6974" s="40"/>
      <c r="D6974" s="40"/>
      <c r="E6974" s="40"/>
      <c r="F6974" s="40"/>
    </row>
    <row r="6975" spans="1:6" ht="15.75" thickBot="1" x14ac:dyDescent="0.3">
      <c r="A6975" s="12" t="s">
        <v>42</v>
      </c>
      <c r="B6975" s="12" t="s">
        <v>43</v>
      </c>
      <c r="C6975" s="12" t="s">
        <v>44</v>
      </c>
      <c r="D6975" s="12" t="s">
        <v>45</v>
      </c>
      <c r="E6975" s="12" t="s">
        <v>46</v>
      </c>
      <c r="F6975" s="12" t="s">
        <v>47</v>
      </c>
    </row>
    <row r="6976" spans="1:6" x14ac:dyDescent="0.25">
      <c r="A6976" s="8">
        <v>43211507</v>
      </c>
      <c r="B6976" s="9" t="str">
        <f ca="1">IFERROR(INDEX(UNSPSCDes,MATCH(INDIRECT(ADDRESS(ROW(),COLUMN()-1,4)),UNSPSCCode,0)),"")</f>
        <v>Computadores de escritorio</v>
      </c>
      <c r="C6976" s="33" t="s">
        <v>55</v>
      </c>
      <c r="D6976" s="8">
        <v>10</v>
      </c>
      <c r="E6976" s="11">
        <v>80000</v>
      </c>
      <c r="F6976" s="10">
        <f ca="1">INDIRECT(ADDRESS(ROW(),COLUMN()-2,4))*INDIRECT(ADDRESS(ROW(),COLUMN()-1,4))</f>
        <v>800000</v>
      </c>
    </row>
    <row r="6977" spans="1:6" x14ac:dyDescent="0.25">
      <c r="A6977" s="8">
        <v>43212110</v>
      </c>
      <c r="B6977" s="9" t="str">
        <f ca="1">IFERROR(INDEX(UNSPSCDes,MATCH(INDIRECT(ADDRESS(ROW(),COLUMN()-1,4)),UNSPSCCode,0)),"")</f>
        <v>Impresoras de múltiples funciones</v>
      </c>
      <c r="C6977" s="33" t="s">
        <v>55</v>
      </c>
      <c r="D6977" s="8">
        <v>10</v>
      </c>
      <c r="E6977" s="11">
        <v>45000</v>
      </c>
      <c r="F6977" s="10">
        <f ca="1">INDIRECT(ADDRESS(ROW(),COLUMN()-2,4))*INDIRECT(ADDRESS(ROW(),COLUMN()-1,4))</f>
        <v>450000</v>
      </c>
    </row>
    <row r="6978" spans="1:6" x14ac:dyDescent="0.25">
      <c r="A6978" s="40"/>
      <c r="B6978" s="40"/>
      <c r="C6978" s="40"/>
      <c r="D6978" s="40"/>
      <c r="E6978" s="13" t="s">
        <v>87</v>
      </c>
      <c r="F6978" s="14">
        <f ca="1">SUM(Table3146313[MONTO TOTAL ESTIMADO])</f>
        <v>1250000</v>
      </c>
    </row>
    <row r="6979" spans="1:6" ht="15.75" thickBot="1" x14ac:dyDescent="0.3">
      <c r="A6979" s="42"/>
      <c r="B6979" s="42"/>
      <c r="C6979" s="42"/>
      <c r="D6979" s="42"/>
      <c r="E6979" s="42"/>
      <c r="F6979" s="42"/>
    </row>
    <row r="6980" spans="1:6" ht="23.25" thickBot="1" x14ac:dyDescent="0.3">
      <c r="A6980" s="4" t="s">
        <v>19</v>
      </c>
      <c r="B6980" s="4" t="s">
        <v>20</v>
      </c>
      <c r="C6980" s="4" t="s">
        <v>21</v>
      </c>
      <c r="D6980" s="4" t="s">
        <v>22</v>
      </c>
      <c r="E6980" s="4" t="s">
        <v>23</v>
      </c>
      <c r="F6980" s="4" t="s">
        <v>24</v>
      </c>
    </row>
    <row r="6981" spans="1:6" ht="15.75" thickBot="1" x14ac:dyDescent="0.3">
      <c r="A6981" s="32" t="s">
        <v>510</v>
      </c>
      <c r="B6981" s="32" t="s">
        <v>511</v>
      </c>
      <c r="C6981" s="32" t="s">
        <v>27</v>
      </c>
      <c r="D6981" s="6" t="s">
        <v>28</v>
      </c>
      <c r="E6981" s="6" t="s">
        <v>262</v>
      </c>
      <c r="F6981" s="6"/>
    </row>
    <row r="6982" spans="1:6" ht="15.75" thickBot="1" x14ac:dyDescent="0.3">
      <c r="A6982" s="35" t="s">
        <v>31</v>
      </c>
      <c r="B6982" s="7" t="s">
        <v>32</v>
      </c>
      <c r="C6982" s="15">
        <v>45566</v>
      </c>
      <c r="D6982" s="35" t="s">
        <v>33</v>
      </c>
      <c r="E6982" s="7" t="s">
        <v>34</v>
      </c>
      <c r="F6982" s="6"/>
    </row>
    <row r="6983" spans="1:6" ht="15.75" thickBot="1" x14ac:dyDescent="0.3">
      <c r="A6983" s="36"/>
      <c r="B6983" s="7" t="s">
        <v>36</v>
      </c>
      <c r="C6983" s="5">
        <f>IF(C6982="","",IF(AND(MONTH(C6982)&gt;=1,MONTH(C6982)&lt;=3),1,IF(AND(MONTH(C6982)&gt;=4,MONTH(C6982)&lt;=6),2,IF(AND(MONTH(C6982)&gt;=7,MONTH(C6982)&lt;=9),3,4))))</f>
        <v>4</v>
      </c>
      <c r="D6983" s="36"/>
      <c r="E6983" s="7" t="s">
        <v>37</v>
      </c>
      <c r="F6983" s="6"/>
    </row>
    <row r="6984" spans="1:6" ht="15.75" thickBot="1" x14ac:dyDescent="0.3">
      <c r="A6984" s="36"/>
      <c r="B6984" s="7" t="s">
        <v>39</v>
      </c>
      <c r="C6984" s="15">
        <v>45656</v>
      </c>
      <c r="D6984" s="36"/>
      <c r="E6984" s="7" t="s">
        <v>40</v>
      </c>
      <c r="F6984" s="6"/>
    </row>
    <row r="6985" spans="1:6" ht="15.75" thickBot="1" x14ac:dyDescent="0.3">
      <c r="A6985" s="36"/>
      <c r="B6985" s="7" t="s">
        <v>36</v>
      </c>
      <c r="C6985" s="5">
        <f>IF(C6984="","",IF(AND(MONTH(C6984)&gt;=1,MONTH(C6984)&lt;=3),1,IF(AND(MONTH(C6984)&gt;=4,MONTH(C6984)&lt;=6),2,IF(AND(MONTH(C6984)&gt;=7,MONTH(C6984)&lt;=9),3,4))))</f>
        <v>4</v>
      </c>
      <c r="D6985" s="36"/>
      <c r="E6985" s="7" t="s">
        <v>41</v>
      </c>
      <c r="F6985" s="6"/>
    </row>
    <row r="6986" spans="1:6" ht="15.75" thickBot="1" x14ac:dyDescent="0.3">
      <c r="A6986" s="40"/>
      <c r="B6986" s="40"/>
      <c r="C6986" s="40"/>
      <c r="D6986" s="40"/>
      <c r="E6986" s="40"/>
      <c r="F6986" s="40"/>
    </row>
    <row r="6987" spans="1:6" ht="15.75" thickBot="1" x14ac:dyDescent="0.3">
      <c r="A6987" s="12" t="s">
        <v>42</v>
      </c>
      <c r="B6987" s="12" t="s">
        <v>43</v>
      </c>
      <c r="C6987" s="12" t="s">
        <v>44</v>
      </c>
      <c r="D6987" s="12" t="s">
        <v>45</v>
      </c>
      <c r="E6987" s="12" t="s">
        <v>46</v>
      </c>
      <c r="F6987" s="12" t="s">
        <v>47</v>
      </c>
    </row>
    <row r="6988" spans="1:6" x14ac:dyDescent="0.25">
      <c r="A6988" s="8">
        <v>49161608</v>
      </c>
      <c r="B6988" s="9" t="str">
        <f t="shared" ref="B6988:B7005" ca="1" si="161">IFERROR(INDEX(UNSPSCDes,MATCH(INDIRECT(ADDRESS(ROW(),COLUMN()-1,4)),UNSPSCCode,0)),"")</f>
        <v>Balones de voleibol</v>
      </c>
      <c r="C6988" s="33" t="s">
        <v>55</v>
      </c>
      <c r="D6988" s="8">
        <v>100</v>
      </c>
      <c r="E6988" s="11">
        <v>1593</v>
      </c>
      <c r="F6988" s="10">
        <f t="shared" ref="F6988:F7005" ca="1" si="162">INDIRECT(ADDRESS(ROW(),COLUMN()-2,4))*INDIRECT(ADDRESS(ROW(),COLUMN()-1,4))</f>
        <v>159300</v>
      </c>
    </row>
    <row r="6989" spans="1:6" x14ac:dyDescent="0.25">
      <c r="A6989" s="8">
        <v>49161603</v>
      </c>
      <c r="B6989" s="9" t="str">
        <f t="shared" ca="1" si="161"/>
        <v>Pelotas de básquetbol</v>
      </c>
      <c r="C6989" s="33" t="s">
        <v>55</v>
      </c>
      <c r="D6989" s="8">
        <v>30</v>
      </c>
      <c r="E6989" s="11">
        <v>1640</v>
      </c>
      <c r="F6989" s="10">
        <f t="shared" ca="1" si="162"/>
        <v>49200</v>
      </c>
    </row>
    <row r="6990" spans="1:6" x14ac:dyDescent="0.25">
      <c r="A6990" s="8">
        <v>49161603</v>
      </c>
      <c r="B6990" s="9" t="str">
        <f t="shared" ca="1" si="161"/>
        <v>Pelotas de básquetbol</v>
      </c>
      <c r="C6990" s="33" t="s">
        <v>55</v>
      </c>
      <c r="D6990" s="8">
        <v>100</v>
      </c>
      <c r="E6990" s="11">
        <v>1593</v>
      </c>
      <c r="F6990" s="10">
        <f t="shared" ca="1" si="162"/>
        <v>159300</v>
      </c>
    </row>
    <row r="6991" spans="1:6" x14ac:dyDescent="0.25">
      <c r="A6991" s="8">
        <v>49161503</v>
      </c>
      <c r="B6991" s="9" t="str">
        <f t="shared" ca="1" si="161"/>
        <v>Pelotas de beisbol</v>
      </c>
      <c r="C6991" s="33" t="s">
        <v>55</v>
      </c>
      <c r="D6991" s="8">
        <v>100</v>
      </c>
      <c r="E6991" s="11">
        <v>425</v>
      </c>
      <c r="F6991" s="10">
        <f t="shared" ca="1" si="162"/>
        <v>42500</v>
      </c>
    </row>
    <row r="6992" spans="1:6" x14ac:dyDescent="0.25">
      <c r="A6992" s="8">
        <v>49161509</v>
      </c>
      <c r="B6992" s="9" t="str">
        <f t="shared" ca="1" si="161"/>
        <v>Balones de softbol</v>
      </c>
      <c r="C6992" s="33" t="s">
        <v>55</v>
      </c>
      <c r="D6992" s="8">
        <v>100</v>
      </c>
      <c r="E6992" s="11">
        <v>477.9</v>
      </c>
      <c r="F6992" s="10">
        <f t="shared" ca="1" si="162"/>
        <v>47790</v>
      </c>
    </row>
    <row r="6993" spans="1:6" x14ac:dyDescent="0.25">
      <c r="A6993" s="8">
        <v>49161504</v>
      </c>
      <c r="B6993" s="9" t="str">
        <f t="shared" ca="1" si="161"/>
        <v>Balones de futbol</v>
      </c>
      <c r="C6993" s="33" t="s">
        <v>55</v>
      </c>
      <c r="D6993" s="8">
        <v>50</v>
      </c>
      <c r="E6993" s="11">
        <v>1593</v>
      </c>
      <c r="F6993" s="10">
        <f t="shared" ca="1" si="162"/>
        <v>79650</v>
      </c>
    </row>
    <row r="6994" spans="1:6" x14ac:dyDescent="0.25">
      <c r="A6994" s="8">
        <v>49161504</v>
      </c>
      <c r="B6994" s="9" t="str">
        <f t="shared" ca="1" si="161"/>
        <v>Balones de futbol</v>
      </c>
      <c r="C6994" s="33" t="s">
        <v>55</v>
      </c>
      <c r="D6994" s="8">
        <v>60</v>
      </c>
      <c r="E6994" s="11">
        <v>1593</v>
      </c>
      <c r="F6994" s="10">
        <f t="shared" ca="1" si="162"/>
        <v>95580</v>
      </c>
    </row>
    <row r="6995" spans="1:6" x14ac:dyDescent="0.25">
      <c r="A6995" s="8">
        <v>49221502</v>
      </c>
      <c r="B6995" s="9" t="str">
        <f t="shared" ca="1" si="161"/>
        <v>Porterías</v>
      </c>
      <c r="C6995" s="33" t="s">
        <v>55</v>
      </c>
      <c r="D6995" s="8">
        <v>30</v>
      </c>
      <c r="E6995" s="11">
        <v>1416</v>
      </c>
      <c r="F6995" s="10">
        <f t="shared" ca="1" si="162"/>
        <v>42480</v>
      </c>
    </row>
    <row r="6996" spans="1:6" x14ac:dyDescent="0.25">
      <c r="A6996" s="8">
        <v>49181509</v>
      </c>
      <c r="B6996" s="9" t="str">
        <f t="shared" ca="1" si="161"/>
        <v>Bolas de ping pong</v>
      </c>
      <c r="C6996" s="33" t="s">
        <v>55</v>
      </c>
      <c r="D6996" s="8">
        <v>100</v>
      </c>
      <c r="E6996" s="11">
        <v>94.4</v>
      </c>
      <c r="F6996" s="10">
        <f t="shared" ca="1" si="162"/>
        <v>9440</v>
      </c>
    </row>
    <row r="6997" spans="1:6" x14ac:dyDescent="0.25">
      <c r="A6997" s="8">
        <v>49161603</v>
      </c>
      <c r="B6997" s="9" t="str">
        <f t="shared" ca="1" si="161"/>
        <v>Pelotas de básquetbol</v>
      </c>
      <c r="C6997" s="33" t="s">
        <v>55</v>
      </c>
      <c r="D6997" s="8">
        <v>50</v>
      </c>
      <c r="E6997" s="11">
        <v>2950</v>
      </c>
      <c r="F6997" s="10">
        <f t="shared" ca="1" si="162"/>
        <v>147500</v>
      </c>
    </row>
    <row r="6998" spans="1:6" x14ac:dyDescent="0.25">
      <c r="A6998" s="8">
        <v>49161603</v>
      </c>
      <c r="B6998" s="9" t="str">
        <f t="shared" ca="1" si="161"/>
        <v>Pelotas de básquetbol</v>
      </c>
      <c r="C6998" s="33" t="s">
        <v>55</v>
      </c>
      <c r="D6998" s="8">
        <v>25</v>
      </c>
      <c r="E6998" s="11">
        <v>3304</v>
      </c>
      <c r="F6998" s="10">
        <f t="shared" ca="1" si="162"/>
        <v>82600</v>
      </c>
    </row>
    <row r="6999" spans="1:6" x14ac:dyDescent="0.25">
      <c r="A6999" s="8">
        <v>49161503</v>
      </c>
      <c r="B6999" s="9" t="str">
        <f t="shared" ca="1" si="161"/>
        <v>Pelotas de beisbol</v>
      </c>
      <c r="C6999" s="33" t="s">
        <v>55</v>
      </c>
      <c r="D6999" s="8">
        <v>25</v>
      </c>
      <c r="E6999" s="11">
        <v>295</v>
      </c>
      <c r="F6999" s="10">
        <f t="shared" ca="1" si="162"/>
        <v>7375</v>
      </c>
    </row>
    <row r="7000" spans="1:6" x14ac:dyDescent="0.25">
      <c r="A7000" s="8">
        <v>49221507</v>
      </c>
      <c r="B7000" s="9" t="str">
        <f t="shared" ca="1" si="161"/>
        <v>Tableros de basquetbol</v>
      </c>
      <c r="C7000" s="33" t="s">
        <v>55</v>
      </c>
      <c r="D7000" s="8">
        <v>10</v>
      </c>
      <c r="E7000" s="11">
        <v>41300</v>
      </c>
      <c r="F7000" s="10">
        <f t="shared" ca="1" si="162"/>
        <v>413000</v>
      </c>
    </row>
    <row r="7001" spans="1:6" x14ac:dyDescent="0.25">
      <c r="A7001" s="8">
        <v>49221505</v>
      </c>
      <c r="B7001" s="9" t="str">
        <f t="shared" ca="1" si="161"/>
        <v>Mallas o redes para deportes</v>
      </c>
      <c r="C7001" s="33" t="s">
        <v>55</v>
      </c>
      <c r="D7001" s="8">
        <v>25</v>
      </c>
      <c r="E7001" s="11">
        <v>241.9</v>
      </c>
      <c r="F7001" s="10">
        <f t="shared" ca="1" si="162"/>
        <v>6047.5</v>
      </c>
    </row>
    <row r="7002" spans="1:6" x14ac:dyDescent="0.25">
      <c r="A7002" s="8">
        <v>49161506</v>
      </c>
      <c r="B7002" s="9" t="str">
        <f t="shared" ca="1" si="161"/>
        <v>Bates de beisbol</v>
      </c>
      <c r="C7002" s="33" t="s">
        <v>55</v>
      </c>
      <c r="D7002" s="8">
        <v>25</v>
      </c>
      <c r="E7002" s="11">
        <v>5074</v>
      </c>
      <c r="F7002" s="10">
        <f t="shared" ca="1" si="162"/>
        <v>126850</v>
      </c>
    </row>
    <row r="7003" spans="1:6" x14ac:dyDescent="0.25">
      <c r="A7003" s="8">
        <v>49161520</v>
      </c>
      <c r="B7003" s="9" t="str">
        <f t="shared" ca="1" si="161"/>
        <v>Bates de softbol</v>
      </c>
      <c r="C7003" s="33" t="s">
        <v>55</v>
      </c>
      <c r="D7003" s="8">
        <v>10</v>
      </c>
      <c r="E7003" s="11">
        <v>4277.5</v>
      </c>
      <c r="F7003" s="10">
        <f t="shared" ca="1" si="162"/>
        <v>42775</v>
      </c>
    </row>
    <row r="7004" spans="1:6" x14ac:dyDescent="0.25">
      <c r="A7004" s="8">
        <v>49161608</v>
      </c>
      <c r="B7004" s="9" t="str">
        <f t="shared" ca="1" si="161"/>
        <v>Balones de voleibol</v>
      </c>
      <c r="C7004" s="33" t="s">
        <v>55</v>
      </c>
      <c r="D7004" s="8">
        <v>50</v>
      </c>
      <c r="E7004" s="11">
        <v>1800</v>
      </c>
      <c r="F7004" s="10">
        <f t="shared" ca="1" si="162"/>
        <v>90000</v>
      </c>
    </row>
    <row r="7005" spans="1:6" x14ac:dyDescent="0.25">
      <c r="A7005" s="8">
        <v>49161506</v>
      </c>
      <c r="B7005" s="9" t="str">
        <f t="shared" ca="1" si="161"/>
        <v>Bates de beisbol</v>
      </c>
      <c r="C7005" s="33" t="s">
        <v>55</v>
      </c>
      <c r="D7005" s="8">
        <v>15</v>
      </c>
      <c r="E7005" s="11">
        <v>4074</v>
      </c>
      <c r="F7005" s="10">
        <f t="shared" ca="1" si="162"/>
        <v>61110</v>
      </c>
    </row>
    <row r="7006" spans="1:6" x14ac:dyDescent="0.25">
      <c r="A7006" s="40"/>
      <c r="B7006" s="40"/>
      <c r="C7006" s="40"/>
      <c r="D7006" s="40"/>
      <c r="E7006" s="13" t="s">
        <v>87</v>
      </c>
      <c r="F7006" s="14">
        <f ca="1">SUM(Table3147314[MONTO TOTAL ESTIMADO])</f>
        <v>1662497.5</v>
      </c>
    </row>
    <row r="7007" spans="1:6" ht="15.75" thickBot="1" x14ac:dyDescent="0.3">
      <c r="A7007" s="42"/>
      <c r="B7007" s="42"/>
      <c r="C7007" s="42"/>
      <c r="D7007" s="42"/>
      <c r="E7007" s="42"/>
      <c r="F7007" s="42"/>
    </row>
    <row r="7008" spans="1:6" ht="23.25" thickBot="1" x14ac:dyDescent="0.3">
      <c r="A7008" s="4" t="s">
        <v>19</v>
      </c>
      <c r="B7008" s="4" t="s">
        <v>20</v>
      </c>
      <c r="C7008" s="4" t="s">
        <v>21</v>
      </c>
      <c r="D7008" s="4" t="s">
        <v>22</v>
      </c>
      <c r="E7008" s="4" t="s">
        <v>23</v>
      </c>
      <c r="F7008" s="4" t="s">
        <v>24</v>
      </c>
    </row>
    <row r="7009" spans="1:6" ht="15.75" thickBot="1" x14ac:dyDescent="0.3">
      <c r="A7009" s="32" t="s">
        <v>527</v>
      </c>
      <c r="B7009" s="32" t="s">
        <v>528</v>
      </c>
      <c r="C7009" s="32" t="s">
        <v>129</v>
      </c>
      <c r="D7009" s="6" t="s">
        <v>28</v>
      </c>
      <c r="E7009" s="6" t="s">
        <v>262</v>
      </c>
      <c r="F7009" s="6"/>
    </row>
    <row r="7010" spans="1:6" ht="15.75" thickBot="1" x14ac:dyDescent="0.3">
      <c r="A7010" s="35" t="s">
        <v>31</v>
      </c>
      <c r="B7010" s="7" t="s">
        <v>32</v>
      </c>
      <c r="C7010" s="15">
        <v>45566</v>
      </c>
      <c r="D7010" s="35" t="s">
        <v>33</v>
      </c>
      <c r="E7010" s="7" t="s">
        <v>34</v>
      </c>
      <c r="F7010" s="6"/>
    </row>
    <row r="7011" spans="1:6" ht="15.75" thickBot="1" x14ac:dyDescent="0.3">
      <c r="A7011" s="36"/>
      <c r="B7011" s="7" t="s">
        <v>36</v>
      </c>
      <c r="C7011" s="5">
        <f>IF(C7010="","",IF(AND(MONTH(C7010)&gt;=1,MONTH(C7010)&lt;=3),1,IF(AND(MONTH(C7010)&gt;=4,MONTH(C7010)&lt;=6),2,IF(AND(MONTH(C7010)&gt;=7,MONTH(C7010)&lt;=9),3,4))))</f>
        <v>4</v>
      </c>
      <c r="D7011" s="36"/>
      <c r="E7011" s="7" t="s">
        <v>37</v>
      </c>
      <c r="F7011" s="6"/>
    </row>
    <row r="7012" spans="1:6" ht="15.75" thickBot="1" x14ac:dyDescent="0.3">
      <c r="A7012" s="36"/>
      <c r="B7012" s="7" t="s">
        <v>39</v>
      </c>
      <c r="C7012" s="15">
        <v>45656</v>
      </c>
      <c r="D7012" s="36"/>
      <c r="E7012" s="7" t="s">
        <v>40</v>
      </c>
      <c r="F7012" s="6"/>
    </row>
    <row r="7013" spans="1:6" ht="15.75" thickBot="1" x14ac:dyDescent="0.3">
      <c r="A7013" s="36"/>
      <c r="B7013" s="7" t="s">
        <v>36</v>
      </c>
      <c r="C7013" s="5">
        <f>IF(C7012="","",IF(AND(MONTH(C7012)&gt;=1,MONTH(C7012)&lt;=3),1,IF(AND(MONTH(C7012)&gt;=4,MONTH(C7012)&lt;=6),2,IF(AND(MONTH(C7012)&gt;=7,MONTH(C7012)&lt;=9),3,4))))</f>
        <v>4</v>
      </c>
      <c r="D7013" s="36"/>
      <c r="E7013" s="7" t="s">
        <v>41</v>
      </c>
      <c r="F7013" s="6"/>
    </row>
    <row r="7014" spans="1:6" ht="15.75" thickBot="1" x14ac:dyDescent="0.3">
      <c r="A7014" s="40"/>
      <c r="B7014" s="40"/>
      <c r="C7014" s="40"/>
      <c r="D7014" s="40"/>
      <c r="E7014" s="40"/>
      <c r="F7014" s="40"/>
    </row>
    <row r="7015" spans="1:6" ht="15.75" thickBot="1" x14ac:dyDescent="0.3">
      <c r="A7015" s="12" t="s">
        <v>42</v>
      </c>
      <c r="B7015" s="12" t="s">
        <v>43</v>
      </c>
      <c r="C7015" s="12" t="s">
        <v>44</v>
      </c>
      <c r="D7015" s="12" t="s">
        <v>45</v>
      </c>
      <c r="E7015" s="12" t="s">
        <v>46</v>
      </c>
      <c r="F7015" s="12" t="s">
        <v>47</v>
      </c>
    </row>
    <row r="7016" spans="1:6" ht="22.5" x14ac:dyDescent="0.25">
      <c r="A7016" s="41">
        <v>78101802</v>
      </c>
      <c r="B7016" s="9" t="str">
        <f ca="1">IFERROR(INDEX(UNSPSCDes,MATCH(INDIRECT(ADDRESS(ROW(),COLUMN()-1,4)),UNSPSCCode,0)),"")</f>
        <v>Servicios transporte de carga por carretera (en camión) a nivel regional y nacional</v>
      </c>
      <c r="C7016" s="33" t="s">
        <v>55</v>
      </c>
      <c r="D7016" s="8">
        <v>10</v>
      </c>
      <c r="E7016" s="11">
        <v>35000</v>
      </c>
      <c r="F7016" s="10">
        <f ca="1">INDIRECT(ADDRESS(ROW(),COLUMN()-2,4))*INDIRECT(ADDRESS(ROW(),COLUMN()-1,4))</f>
        <v>350000</v>
      </c>
    </row>
    <row r="7017" spans="1:6" x14ac:dyDescent="0.25">
      <c r="A7017" s="41">
        <v>78111808</v>
      </c>
      <c r="B7017" s="9" t="str">
        <f ca="1">IFERROR(INDEX(UNSPSCDes,MATCH(INDIRECT(ADDRESS(ROW(),COLUMN()-1,4)),UNSPSCCode,0)),"")</f>
        <v>Alquiler de vehículos</v>
      </c>
      <c r="C7017" s="33" t="s">
        <v>55</v>
      </c>
      <c r="D7017" s="8">
        <v>20</v>
      </c>
      <c r="E7017" s="11">
        <v>16000</v>
      </c>
      <c r="F7017" s="10">
        <f ca="1">INDIRECT(ADDRESS(ROW(),COLUMN()-2,4))*INDIRECT(ADDRESS(ROW(),COLUMN()-1,4))</f>
        <v>320000</v>
      </c>
    </row>
    <row r="7018" spans="1:6" x14ac:dyDescent="0.25">
      <c r="A7018" s="40"/>
      <c r="B7018" s="40"/>
      <c r="C7018" s="40"/>
      <c r="D7018" s="40"/>
      <c r="E7018" s="13" t="s">
        <v>87</v>
      </c>
      <c r="F7018" s="14">
        <f ca="1">SUM(Table3148315[MONTO TOTAL ESTIMADO])</f>
        <v>670000</v>
      </c>
    </row>
    <row r="7019" spans="1:6" ht="15.75" thickBot="1" x14ac:dyDescent="0.3">
      <c r="A7019" s="42"/>
      <c r="B7019" s="42"/>
      <c r="C7019" s="42"/>
      <c r="D7019" s="42"/>
      <c r="E7019" s="42"/>
      <c r="F7019" s="42"/>
    </row>
    <row r="7020" spans="1:6" ht="23.25" thickBot="1" x14ac:dyDescent="0.3">
      <c r="A7020" s="4" t="s">
        <v>19</v>
      </c>
      <c r="B7020" s="4" t="s">
        <v>20</v>
      </c>
      <c r="C7020" s="4" t="s">
        <v>21</v>
      </c>
      <c r="D7020" s="4" t="s">
        <v>22</v>
      </c>
      <c r="E7020" s="4" t="s">
        <v>23</v>
      </c>
      <c r="F7020" s="4" t="s">
        <v>24</v>
      </c>
    </row>
    <row r="7021" spans="1:6" ht="15.75" thickBot="1" x14ac:dyDescent="0.3">
      <c r="A7021" s="32" t="s">
        <v>268</v>
      </c>
      <c r="B7021" s="32" t="s">
        <v>529</v>
      </c>
      <c r="C7021" s="32" t="s">
        <v>129</v>
      </c>
      <c r="D7021" s="6" t="s">
        <v>28</v>
      </c>
      <c r="E7021" s="6" t="s">
        <v>262</v>
      </c>
      <c r="F7021" s="6"/>
    </row>
    <row r="7022" spans="1:6" ht="15.75" thickBot="1" x14ac:dyDescent="0.3">
      <c r="A7022" s="35" t="s">
        <v>31</v>
      </c>
      <c r="B7022" s="7" t="s">
        <v>32</v>
      </c>
      <c r="C7022" s="15">
        <v>45566</v>
      </c>
      <c r="D7022" s="35" t="s">
        <v>33</v>
      </c>
      <c r="E7022" s="7" t="s">
        <v>34</v>
      </c>
      <c r="F7022" s="6"/>
    </row>
    <row r="7023" spans="1:6" ht="15.75" thickBot="1" x14ac:dyDescent="0.3">
      <c r="A7023" s="36"/>
      <c r="B7023" s="7" t="s">
        <v>36</v>
      </c>
      <c r="C7023" s="5">
        <f>IF(C7022="","",IF(AND(MONTH(C7022)&gt;=1,MONTH(C7022)&lt;=3),1,IF(AND(MONTH(C7022)&gt;=4,MONTH(C7022)&lt;=6),2,IF(AND(MONTH(C7022)&gt;=7,MONTH(C7022)&lt;=9),3,4))))</f>
        <v>4</v>
      </c>
      <c r="D7023" s="36"/>
      <c r="E7023" s="7" t="s">
        <v>37</v>
      </c>
      <c r="F7023" s="6"/>
    </row>
    <row r="7024" spans="1:6" ht="15.75" thickBot="1" x14ac:dyDescent="0.3">
      <c r="A7024" s="36"/>
      <c r="B7024" s="7" t="s">
        <v>39</v>
      </c>
      <c r="C7024" s="15">
        <v>45656</v>
      </c>
      <c r="D7024" s="36"/>
      <c r="E7024" s="7" t="s">
        <v>40</v>
      </c>
      <c r="F7024" s="6"/>
    </row>
    <row r="7025" spans="1:6" ht="15.75" thickBot="1" x14ac:dyDescent="0.3">
      <c r="A7025" s="36"/>
      <c r="B7025" s="7" t="s">
        <v>36</v>
      </c>
      <c r="C7025" s="5">
        <f>IF(C7024="","",IF(AND(MONTH(C7024)&gt;=1,MONTH(C7024)&lt;=3),1,IF(AND(MONTH(C7024)&gt;=4,MONTH(C7024)&lt;=6),2,IF(AND(MONTH(C7024)&gt;=7,MONTH(C7024)&lt;=9),3,4))))</f>
        <v>4</v>
      </c>
      <c r="D7025" s="36"/>
      <c r="E7025" s="7" t="s">
        <v>41</v>
      </c>
      <c r="F7025" s="6"/>
    </row>
    <row r="7026" spans="1:6" ht="15.75" thickBot="1" x14ac:dyDescent="0.3">
      <c r="A7026" s="40"/>
      <c r="B7026" s="40"/>
      <c r="C7026" s="40"/>
      <c r="D7026" s="40"/>
      <c r="E7026" s="40"/>
      <c r="F7026" s="40"/>
    </row>
    <row r="7027" spans="1:6" ht="15.75" thickBot="1" x14ac:dyDescent="0.3">
      <c r="A7027" s="12" t="s">
        <v>42</v>
      </c>
      <c r="B7027" s="12" t="s">
        <v>43</v>
      </c>
      <c r="C7027" s="12" t="s">
        <v>44</v>
      </c>
      <c r="D7027" s="12" t="s">
        <v>45</v>
      </c>
      <c r="E7027" s="12" t="s">
        <v>46</v>
      </c>
      <c r="F7027" s="12" t="s">
        <v>47</v>
      </c>
    </row>
    <row r="7028" spans="1:6" x14ac:dyDescent="0.25">
      <c r="A7028" s="8">
        <v>78111808</v>
      </c>
      <c r="B7028" s="9" t="str">
        <f ca="1">IFERROR(INDEX(UNSPSCDes,MATCH(INDIRECT(ADDRESS(ROW(),COLUMN()-1,4)),UNSPSCCode,0)),"")</f>
        <v>Alquiler de vehículos</v>
      </c>
      <c r="C7028" s="33" t="s">
        <v>55</v>
      </c>
      <c r="D7028" s="8">
        <v>1</v>
      </c>
      <c r="E7028" s="11">
        <v>1700000</v>
      </c>
      <c r="F7028" s="10">
        <f ca="1">INDIRECT(ADDRESS(ROW(),COLUMN()-2,4))*INDIRECT(ADDRESS(ROW(),COLUMN()-1,4))</f>
        <v>1700000</v>
      </c>
    </row>
    <row r="7029" spans="1:6" x14ac:dyDescent="0.25">
      <c r="A7029" s="40"/>
      <c r="B7029" s="40"/>
      <c r="C7029" s="40"/>
      <c r="D7029" s="40"/>
      <c r="E7029" s="13" t="s">
        <v>87</v>
      </c>
      <c r="F7029" s="14">
        <f ca="1">SUM(Table3149316[MONTO TOTAL ESTIMADO])</f>
        <v>1700000</v>
      </c>
    </row>
    <row r="7030" spans="1:6" ht="15.75" thickBot="1" x14ac:dyDescent="0.3">
      <c r="A7030" s="42"/>
      <c r="B7030" s="42"/>
      <c r="C7030" s="42"/>
      <c r="D7030" s="42"/>
      <c r="E7030" s="42"/>
      <c r="F7030" s="42"/>
    </row>
    <row r="7031" spans="1:6" ht="23.25" thickBot="1" x14ac:dyDescent="0.3">
      <c r="A7031" s="4" t="s">
        <v>19</v>
      </c>
      <c r="B7031" s="4" t="s">
        <v>20</v>
      </c>
      <c r="C7031" s="4" t="s">
        <v>21</v>
      </c>
      <c r="D7031" s="4" t="s">
        <v>22</v>
      </c>
      <c r="E7031" s="4" t="s">
        <v>23</v>
      </c>
      <c r="F7031" s="4" t="s">
        <v>24</v>
      </c>
    </row>
    <row r="7032" spans="1:6" ht="15.75" thickBot="1" x14ac:dyDescent="0.3">
      <c r="A7032" s="32" t="s">
        <v>510</v>
      </c>
      <c r="B7032" s="32" t="s">
        <v>511</v>
      </c>
      <c r="C7032" s="32" t="s">
        <v>27</v>
      </c>
      <c r="D7032" s="6" t="s">
        <v>28</v>
      </c>
      <c r="E7032" s="6" t="s">
        <v>262</v>
      </c>
      <c r="F7032" s="6"/>
    </row>
    <row r="7033" spans="1:6" ht="15.75" thickBot="1" x14ac:dyDescent="0.3">
      <c r="A7033" s="35" t="s">
        <v>31</v>
      </c>
      <c r="B7033" s="7" t="s">
        <v>32</v>
      </c>
      <c r="C7033" s="15">
        <v>45566</v>
      </c>
      <c r="D7033" s="35" t="s">
        <v>33</v>
      </c>
      <c r="E7033" s="7" t="s">
        <v>34</v>
      </c>
      <c r="F7033" s="6"/>
    </row>
    <row r="7034" spans="1:6" ht="15.75" thickBot="1" x14ac:dyDescent="0.3">
      <c r="A7034" s="36"/>
      <c r="B7034" s="7" t="s">
        <v>36</v>
      </c>
      <c r="C7034" s="5">
        <f>IF(C7033="","",IF(AND(MONTH(C7033)&gt;=1,MONTH(C7033)&lt;=3),1,IF(AND(MONTH(C7033)&gt;=4,MONTH(C7033)&lt;=6),2,IF(AND(MONTH(C7033)&gt;=7,MONTH(C7033)&lt;=9),3,4))))</f>
        <v>4</v>
      </c>
      <c r="D7034" s="36"/>
      <c r="E7034" s="7" t="s">
        <v>37</v>
      </c>
      <c r="F7034" s="6"/>
    </row>
    <row r="7035" spans="1:6" ht="15.75" thickBot="1" x14ac:dyDescent="0.3">
      <c r="A7035" s="36"/>
      <c r="B7035" s="7" t="s">
        <v>39</v>
      </c>
      <c r="C7035" s="15">
        <v>45656</v>
      </c>
      <c r="D7035" s="36"/>
      <c r="E7035" s="7" t="s">
        <v>40</v>
      </c>
      <c r="F7035" s="6"/>
    </row>
    <row r="7036" spans="1:6" ht="15.75" thickBot="1" x14ac:dyDescent="0.3">
      <c r="A7036" s="36"/>
      <c r="B7036" s="7" t="s">
        <v>36</v>
      </c>
      <c r="C7036" s="5">
        <f>IF(C7035="","",IF(AND(MONTH(C7035)&gt;=1,MONTH(C7035)&lt;=3),1,IF(AND(MONTH(C7035)&gt;=4,MONTH(C7035)&lt;=6),2,IF(AND(MONTH(C7035)&gt;=7,MONTH(C7035)&lt;=9),3,4))))</f>
        <v>4</v>
      </c>
      <c r="D7036" s="36"/>
      <c r="E7036" s="7" t="s">
        <v>41</v>
      </c>
      <c r="F7036" s="6"/>
    </row>
    <row r="7037" spans="1:6" ht="15.75" thickBot="1" x14ac:dyDescent="0.3">
      <c r="A7037" s="40"/>
      <c r="B7037" s="40"/>
      <c r="C7037" s="40"/>
      <c r="D7037" s="40"/>
      <c r="E7037" s="40"/>
      <c r="F7037" s="40"/>
    </row>
    <row r="7038" spans="1:6" ht="15.75" thickBot="1" x14ac:dyDescent="0.3">
      <c r="A7038" s="12" t="s">
        <v>42</v>
      </c>
      <c r="B7038" s="12" t="s">
        <v>43</v>
      </c>
      <c r="C7038" s="12" t="s">
        <v>44</v>
      </c>
      <c r="D7038" s="12" t="s">
        <v>45</v>
      </c>
      <c r="E7038" s="12" t="s">
        <v>46</v>
      </c>
      <c r="F7038" s="12" t="s">
        <v>47</v>
      </c>
    </row>
    <row r="7039" spans="1:6" x14ac:dyDescent="0.25">
      <c r="A7039" s="8">
        <v>49161608</v>
      </c>
      <c r="B7039" s="9" t="str">
        <f t="shared" ref="B7039:B7056" ca="1" si="163">IFERROR(INDEX(UNSPSCDes,MATCH(INDIRECT(ADDRESS(ROW(),COLUMN()-1,4)),UNSPSCCode,0)),"")</f>
        <v>Balones de voleibol</v>
      </c>
      <c r="C7039" s="33" t="s">
        <v>55</v>
      </c>
      <c r="D7039" s="8">
        <v>100</v>
      </c>
      <c r="E7039" s="11">
        <v>1593</v>
      </c>
      <c r="F7039" s="10">
        <f t="shared" ref="F7039:F7056" ca="1" si="164">INDIRECT(ADDRESS(ROW(),COLUMN()-2,4))*INDIRECT(ADDRESS(ROW(),COLUMN()-1,4))</f>
        <v>159300</v>
      </c>
    </row>
    <row r="7040" spans="1:6" x14ac:dyDescent="0.25">
      <c r="A7040" s="8">
        <v>49161603</v>
      </c>
      <c r="B7040" s="9" t="str">
        <f t="shared" ca="1" si="163"/>
        <v>Pelotas de básquetbol</v>
      </c>
      <c r="C7040" s="33" t="s">
        <v>55</v>
      </c>
      <c r="D7040" s="8">
        <v>30</v>
      </c>
      <c r="E7040" s="11">
        <v>1640</v>
      </c>
      <c r="F7040" s="10">
        <f t="shared" ca="1" si="164"/>
        <v>49200</v>
      </c>
    </row>
    <row r="7041" spans="1:6" x14ac:dyDescent="0.25">
      <c r="A7041" s="8">
        <v>49161603</v>
      </c>
      <c r="B7041" s="9" t="str">
        <f t="shared" ca="1" si="163"/>
        <v>Pelotas de básquetbol</v>
      </c>
      <c r="C7041" s="33" t="s">
        <v>55</v>
      </c>
      <c r="D7041" s="8">
        <v>100</v>
      </c>
      <c r="E7041" s="11">
        <v>1593</v>
      </c>
      <c r="F7041" s="10">
        <f t="shared" ca="1" si="164"/>
        <v>159300</v>
      </c>
    </row>
    <row r="7042" spans="1:6" x14ac:dyDescent="0.25">
      <c r="A7042" s="8">
        <v>49161503</v>
      </c>
      <c r="B7042" s="9" t="str">
        <f t="shared" ca="1" si="163"/>
        <v>Pelotas de beisbol</v>
      </c>
      <c r="C7042" s="33" t="s">
        <v>55</v>
      </c>
      <c r="D7042" s="8">
        <v>100</v>
      </c>
      <c r="E7042" s="11">
        <v>425</v>
      </c>
      <c r="F7042" s="10">
        <f t="shared" ca="1" si="164"/>
        <v>42500</v>
      </c>
    </row>
    <row r="7043" spans="1:6" x14ac:dyDescent="0.25">
      <c r="A7043" s="8">
        <v>49161509</v>
      </c>
      <c r="B7043" s="9" t="str">
        <f t="shared" ca="1" si="163"/>
        <v>Balones de softbol</v>
      </c>
      <c r="C7043" s="33" t="s">
        <v>55</v>
      </c>
      <c r="D7043" s="8">
        <v>100</v>
      </c>
      <c r="E7043" s="11">
        <v>477.9</v>
      </c>
      <c r="F7043" s="10">
        <f t="shared" ca="1" si="164"/>
        <v>47790</v>
      </c>
    </row>
    <row r="7044" spans="1:6" x14ac:dyDescent="0.25">
      <c r="A7044" s="8">
        <v>49161504</v>
      </c>
      <c r="B7044" s="9" t="str">
        <f t="shared" ca="1" si="163"/>
        <v>Balones de futbol</v>
      </c>
      <c r="C7044" s="33" t="s">
        <v>55</v>
      </c>
      <c r="D7044" s="8">
        <v>50</v>
      </c>
      <c r="E7044" s="11">
        <v>1593</v>
      </c>
      <c r="F7044" s="10">
        <f t="shared" ca="1" si="164"/>
        <v>79650</v>
      </c>
    </row>
    <row r="7045" spans="1:6" x14ac:dyDescent="0.25">
      <c r="A7045" s="8">
        <v>49161504</v>
      </c>
      <c r="B7045" s="9" t="str">
        <f t="shared" ca="1" si="163"/>
        <v>Balones de futbol</v>
      </c>
      <c r="C7045" s="33" t="s">
        <v>55</v>
      </c>
      <c r="D7045" s="8">
        <v>60</v>
      </c>
      <c r="E7045" s="11">
        <v>1593</v>
      </c>
      <c r="F7045" s="10">
        <f t="shared" ca="1" si="164"/>
        <v>95580</v>
      </c>
    </row>
    <row r="7046" spans="1:6" x14ac:dyDescent="0.25">
      <c r="A7046" s="8">
        <v>49221502</v>
      </c>
      <c r="B7046" s="9" t="str">
        <f t="shared" ca="1" si="163"/>
        <v>Porterías</v>
      </c>
      <c r="C7046" s="33" t="s">
        <v>55</v>
      </c>
      <c r="D7046" s="8">
        <v>30</v>
      </c>
      <c r="E7046" s="11">
        <v>1416</v>
      </c>
      <c r="F7046" s="10">
        <f t="shared" ca="1" si="164"/>
        <v>42480</v>
      </c>
    </row>
    <row r="7047" spans="1:6" x14ac:dyDescent="0.25">
      <c r="A7047" s="8">
        <v>49181509</v>
      </c>
      <c r="B7047" s="9" t="str">
        <f t="shared" ca="1" si="163"/>
        <v>Bolas de ping pong</v>
      </c>
      <c r="C7047" s="33" t="s">
        <v>55</v>
      </c>
      <c r="D7047" s="8">
        <v>100</v>
      </c>
      <c r="E7047" s="11">
        <v>94.4</v>
      </c>
      <c r="F7047" s="10">
        <f t="shared" ca="1" si="164"/>
        <v>9440</v>
      </c>
    </row>
    <row r="7048" spans="1:6" x14ac:dyDescent="0.25">
      <c r="A7048" s="8">
        <v>49161603</v>
      </c>
      <c r="B7048" s="9" t="str">
        <f t="shared" ca="1" si="163"/>
        <v>Pelotas de básquetbol</v>
      </c>
      <c r="C7048" s="33" t="s">
        <v>55</v>
      </c>
      <c r="D7048" s="8">
        <v>50</v>
      </c>
      <c r="E7048" s="11">
        <v>2950</v>
      </c>
      <c r="F7048" s="10">
        <f t="shared" ca="1" si="164"/>
        <v>147500</v>
      </c>
    </row>
    <row r="7049" spans="1:6" x14ac:dyDescent="0.25">
      <c r="A7049" s="8">
        <v>49161603</v>
      </c>
      <c r="B7049" s="9" t="str">
        <f t="shared" ca="1" si="163"/>
        <v>Pelotas de básquetbol</v>
      </c>
      <c r="C7049" s="33" t="s">
        <v>55</v>
      </c>
      <c r="D7049" s="8">
        <v>25</v>
      </c>
      <c r="E7049" s="11">
        <v>3304</v>
      </c>
      <c r="F7049" s="10">
        <f t="shared" ca="1" si="164"/>
        <v>82600</v>
      </c>
    </row>
    <row r="7050" spans="1:6" x14ac:dyDescent="0.25">
      <c r="A7050" s="8">
        <v>49161503</v>
      </c>
      <c r="B7050" s="9" t="str">
        <f t="shared" ca="1" si="163"/>
        <v>Pelotas de beisbol</v>
      </c>
      <c r="C7050" s="33" t="s">
        <v>55</v>
      </c>
      <c r="D7050" s="8">
        <v>25</v>
      </c>
      <c r="E7050" s="11">
        <v>295</v>
      </c>
      <c r="F7050" s="10">
        <f t="shared" ca="1" si="164"/>
        <v>7375</v>
      </c>
    </row>
    <row r="7051" spans="1:6" x14ac:dyDescent="0.25">
      <c r="A7051" s="8">
        <v>49221507</v>
      </c>
      <c r="B7051" s="9" t="str">
        <f t="shared" ca="1" si="163"/>
        <v>Tableros de basquetbol</v>
      </c>
      <c r="C7051" s="33" t="s">
        <v>55</v>
      </c>
      <c r="D7051" s="8">
        <v>10</v>
      </c>
      <c r="E7051" s="11">
        <v>41300</v>
      </c>
      <c r="F7051" s="10">
        <f t="shared" ca="1" si="164"/>
        <v>413000</v>
      </c>
    </row>
    <row r="7052" spans="1:6" x14ac:dyDescent="0.25">
      <c r="A7052" s="8">
        <v>49221505</v>
      </c>
      <c r="B7052" s="9" t="str">
        <f t="shared" ca="1" si="163"/>
        <v>Mallas o redes para deportes</v>
      </c>
      <c r="C7052" s="33" t="s">
        <v>55</v>
      </c>
      <c r="D7052" s="8">
        <v>25</v>
      </c>
      <c r="E7052" s="11">
        <v>241.9</v>
      </c>
      <c r="F7052" s="10">
        <f t="shared" ca="1" si="164"/>
        <v>6047.5</v>
      </c>
    </row>
    <row r="7053" spans="1:6" x14ac:dyDescent="0.25">
      <c r="A7053" s="8">
        <v>49161506</v>
      </c>
      <c r="B7053" s="9" t="str">
        <f t="shared" ca="1" si="163"/>
        <v>Bates de beisbol</v>
      </c>
      <c r="C7053" s="33" t="s">
        <v>55</v>
      </c>
      <c r="D7053" s="8">
        <v>25</v>
      </c>
      <c r="E7053" s="11">
        <v>5074</v>
      </c>
      <c r="F7053" s="10">
        <f t="shared" ca="1" si="164"/>
        <v>126850</v>
      </c>
    </row>
    <row r="7054" spans="1:6" x14ac:dyDescent="0.25">
      <c r="A7054" s="8">
        <v>49161520</v>
      </c>
      <c r="B7054" s="9" t="str">
        <f t="shared" ca="1" si="163"/>
        <v>Bates de softbol</v>
      </c>
      <c r="C7054" s="33" t="s">
        <v>55</v>
      </c>
      <c r="D7054" s="8">
        <v>10</v>
      </c>
      <c r="E7054" s="11">
        <v>4277.5</v>
      </c>
      <c r="F7054" s="10">
        <f t="shared" ca="1" si="164"/>
        <v>42775</v>
      </c>
    </row>
    <row r="7055" spans="1:6" x14ac:dyDescent="0.25">
      <c r="A7055" s="8">
        <v>49161608</v>
      </c>
      <c r="B7055" s="9" t="str">
        <f t="shared" ca="1" si="163"/>
        <v>Balones de voleibol</v>
      </c>
      <c r="C7055" s="33" t="s">
        <v>55</v>
      </c>
      <c r="D7055" s="8">
        <v>50</v>
      </c>
      <c r="E7055" s="11">
        <v>1800</v>
      </c>
      <c r="F7055" s="10">
        <f t="shared" ca="1" si="164"/>
        <v>90000</v>
      </c>
    </row>
    <row r="7056" spans="1:6" x14ac:dyDescent="0.25">
      <c r="A7056" s="8">
        <v>49161506</v>
      </c>
      <c r="B7056" s="9" t="str">
        <f t="shared" ca="1" si="163"/>
        <v>Bates de beisbol</v>
      </c>
      <c r="C7056" s="33" t="s">
        <v>55</v>
      </c>
      <c r="D7056" s="8">
        <v>15</v>
      </c>
      <c r="E7056" s="11">
        <v>4074</v>
      </c>
      <c r="F7056" s="10">
        <f t="shared" ca="1" si="164"/>
        <v>61110</v>
      </c>
    </row>
    <row r="7057" spans="1:6" x14ac:dyDescent="0.25">
      <c r="A7057" s="40"/>
      <c r="B7057" s="40"/>
      <c r="C7057" s="40"/>
      <c r="D7057" s="40"/>
      <c r="E7057" s="13" t="s">
        <v>87</v>
      </c>
      <c r="F7057" s="14">
        <f ca="1">SUM(Table3150317[MONTO TOTAL ESTIMADO])</f>
        <v>1662497.5</v>
      </c>
    </row>
    <row r="7058" spans="1:6" ht="15.75" thickBot="1" x14ac:dyDescent="0.3">
      <c r="A7058" s="42"/>
      <c r="B7058" s="42"/>
      <c r="C7058" s="42"/>
      <c r="D7058" s="42"/>
      <c r="E7058" s="42"/>
      <c r="F7058" s="42"/>
    </row>
    <row r="7059" spans="1:6" ht="23.25" thickBot="1" x14ac:dyDescent="0.3">
      <c r="A7059" s="4" t="s">
        <v>19</v>
      </c>
      <c r="B7059" s="4" t="s">
        <v>20</v>
      </c>
      <c r="C7059" s="4" t="s">
        <v>21</v>
      </c>
      <c r="D7059" s="4" t="s">
        <v>22</v>
      </c>
      <c r="E7059" s="4" t="s">
        <v>23</v>
      </c>
      <c r="F7059" s="4" t="s">
        <v>24</v>
      </c>
    </row>
    <row r="7060" spans="1:6" ht="15.75" thickBot="1" x14ac:dyDescent="0.3">
      <c r="A7060" s="32" t="s">
        <v>530</v>
      </c>
      <c r="B7060" s="32" t="s">
        <v>531</v>
      </c>
      <c r="C7060" s="32" t="s">
        <v>27</v>
      </c>
      <c r="D7060" s="6" t="s">
        <v>28</v>
      </c>
      <c r="E7060" s="6" t="s">
        <v>262</v>
      </c>
      <c r="F7060" s="6"/>
    </row>
    <row r="7061" spans="1:6" ht="15.75" thickBot="1" x14ac:dyDescent="0.3">
      <c r="A7061" s="35" t="s">
        <v>31</v>
      </c>
      <c r="B7061" s="7" t="s">
        <v>32</v>
      </c>
      <c r="C7061" s="15">
        <v>45566</v>
      </c>
      <c r="D7061" s="35" t="s">
        <v>33</v>
      </c>
      <c r="E7061" s="7" t="s">
        <v>34</v>
      </c>
      <c r="F7061" s="6"/>
    </row>
    <row r="7062" spans="1:6" ht="15.75" thickBot="1" x14ac:dyDescent="0.3">
      <c r="A7062" s="36"/>
      <c r="B7062" s="7" t="s">
        <v>36</v>
      </c>
      <c r="C7062" s="5">
        <f>IF(C7061="","",IF(AND(MONTH(C7061)&gt;=1,MONTH(C7061)&lt;=3),1,IF(AND(MONTH(C7061)&gt;=4,MONTH(C7061)&lt;=6),2,IF(AND(MONTH(C7061)&gt;=7,MONTH(C7061)&lt;=9),3,4))))</f>
        <v>4</v>
      </c>
      <c r="D7062" s="36"/>
      <c r="E7062" s="7" t="s">
        <v>37</v>
      </c>
      <c r="F7062" s="6"/>
    </row>
    <row r="7063" spans="1:6" ht="15.75" thickBot="1" x14ac:dyDescent="0.3">
      <c r="A7063" s="36"/>
      <c r="B7063" s="7" t="s">
        <v>39</v>
      </c>
      <c r="C7063" s="15">
        <v>45656</v>
      </c>
      <c r="D7063" s="36"/>
      <c r="E7063" s="7" t="s">
        <v>40</v>
      </c>
      <c r="F7063" s="6"/>
    </row>
    <row r="7064" spans="1:6" ht="15.75" thickBot="1" x14ac:dyDescent="0.3">
      <c r="A7064" s="36"/>
      <c r="B7064" s="7" t="s">
        <v>36</v>
      </c>
      <c r="C7064" s="5">
        <f>IF(C7063="","",IF(AND(MONTH(C7063)&gt;=1,MONTH(C7063)&lt;=3),1,IF(AND(MONTH(C7063)&gt;=4,MONTH(C7063)&lt;=6),2,IF(AND(MONTH(C7063)&gt;=7,MONTH(C7063)&lt;=9),3,4))))</f>
        <v>4</v>
      </c>
      <c r="D7064" s="36"/>
      <c r="E7064" s="7" t="s">
        <v>41</v>
      </c>
      <c r="F7064" s="6"/>
    </row>
    <row r="7065" spans="1:6" ht="15.75" thickBot="1" x14ac:dyDescent="0.3">
      <c r="A7065" s="40"/>
      <c r="B7065" s="40"/>
      <c r="C7065" s="40"/>
      <c r="D7065" s="40"/>
      <c r="E7065" s="40"/>
      <c r="F7065" s="40"/>
    </row>
    <row r="7066" spans="1:6" ht="15.75" thickBot="1" x14ac:dyDescent="0.3">
      <c r="A7066" s="12" t="s">
        <v>42</v>
      </c>
      <c r="B7066" s="12" t="s">
        <v>43</v>
      </c>
      <c r="C7066" s="12" t="s">
        <v>44</v>
      </c>
      <c r="D7066" s="12" t="s">
        <v>45</v>
      </c>
      <c r="E7066" s="12" t="s">
        <v>46</v>
      </c>
      <c r="F7066" s="12" t="s">
        <v>47</v>
      </c>
    </row>
    <row r="7067" spans="1:6" x14ac:dyDescent="0.25">
      <c r="A7067" s="8">
        <v>11161704</v>
      </c>
      <c r="B7067" s="9" t="str">
        <f ca="1">IFERROR(INDEX(UNSPSCDes,MATCH(INDIRECT(ADDRESS(ROW(),COLUMN()-1,4)),UNSPSCCode,0)),"")</f>
        <v>Textiles de algodón tejido</v>
      </c>
      <c r="C7067" s="33" t="s">
        <v>55</v>
      </c>
      <c r="D7067" s="8">
        <v>2000</v>
      </c>
      <c r="E7067" s="11">
        <v>495.6</v>
      </c>
      <c r="F7067" s="10">
        <f ca="1">INDIRECT(ADDRESS(ROW(),COLUMN()-2,4))*INDIRECT(ADDRESS(ROW(),COLUMN()-1,4))</f>
        <v>991200</v>
      </c>
    </row>
    <row r="7068" spans="1:6" x14ac:dyDescent="0.25">
      <c r="A7068" s="40"/>
      <c r="B7068" s="40"/>
      <c r="C7068" s="40"/>
      <c r="D7068" s="40"/>
      <c r="E7068" s="13" t="s">
        <v>87</v>
      </c>
      <c r="F7068" s="14">
        <f ca="1">SUM(Table3151318[MONTO TOTAL ESTIMADO])</f>
        <v>991200</v>
      </c>
    </row>
    <row r="7069" spans="1:6" ht="15.75" thickBot="1" x14ac:dyDescent="0.3">
      <c r="A7069" s="42"/>
      <c r="B7069" s="42"/>
      <c r="C7069" s="42"/>
      <c r="D7069" s="42"/>
      <c r="E7069" s="42"/>
      <c r="F7069" s="42"/>
    </row>
    <row r="7070" spans="1:6" ht="23.25" thickBot="1" x14ac:dyDescent="0.3">
      <c r="A7070" s="4" t="s">
        <v>19</v>
      </c>
      <c r="B7070" s="4" t="s">
        <v>20</v>
      </c>
      <c r="C7070" s="4" t="s">
        <v>21</v>
      </c>
      <c r="D7070" s="4" t="s">
        <v>22</v>
      </c>
      <c r="E7070" s="4" t="s">
        <v>23</v>
      </c>
      <c r="F7070" s="4" t="s">
        <v>24</v>
      </c>
    </row>
    <row r="7071" spans="1:6" ht="15.75" thickBot="1" x14ac:dyDescent="0.3">
      <c r="A7071" s="32" t="s">
        <v>510</v>
      </c>
      <c r="B7071" s="32" t="s">
        <v>511</v>
      </c>
      <c r="C7071" s="6" t="s">
        <v>27</v>
      </c>
      <c r="D7071" s="6" t="s">
        <v>28</v>
      </c>
      <c r="E7071" s="6" t="s">
        <v>262</v>
      </c>
      <c r="F7071" s="6"/>
    </row>
    <row r="7072" spans="1:6" ht="15.75" thickBot="1" x14ac:dyDescent="0.3">
      <c r="A7072" s="35" t="s">
        <v>31</v>
      </c>
      <c r="B7072" s="7" t="s">
        <v>32</v>
      </c>
      <c r="C7072" s="15">
        <v>45566</v>
      </c>
      <c r="D7072" s="35" t="s">
        <v>33</v>
      </c>
      <c r="E7072" s="7" t="s">
        <v>34</v>
      </c>
      <c r="F7072" s="6"/>
    </row>
    <row r="7073" spans="1:6" ht="15.75" thickBot="1" x14ac:dyDescent="0.3">
      <c r="A7073" s="36"/>
      <c r="B7073" s="7" t="s">
        <v>36</v>
      </c>
      <c r="C7073" s="5">
        <f>IF(C7072="","",IF(AND(MONTH(C7072)&gt;=1,MONTH(C7072)&lt;=3),1,IF(AND(MONTH(C7072)&gt;=4,MONTH(C7072)&lt;=6),2,IF(AND(MONTH(C7072)&gt;=7,MONTH(C7072)&lt;=9),3,4))))</f>
        <v>4</v>
      </c>
      <c r="D7073" s="36"/>
      <c r="E7073" s="7" t="s">
        <v>37</v>
      </c>
      <c r="F7073" s="6"/>
    </row>
    <row r="7074" spans="1:6" ht="15.75" thickBot="1" x14ac:dyDescent="0.3">
      <c r="A7074" s="36"/>
      <c r="B7074" s="7" t="s">
        <v>39</v>
      </c>
      <c r="C7074" s="15">
        <v>45656</v>
      </c>
      <c r="D7074" s="36"/>
      <c r="E7074" s="7" t="s">
        <v>40</v>
      </c>
      <c r="F7074" s="6"/>
    </row>
    <row r="7075" spans="1:6" ht="15.75" thickBot="1" x14ac:dyDescent="0.3">
      <c r="A7075" s="36"/>
      <c r="B7075" s="7" t="s">
        <v>36</v>
      </c>
      <c r="C7075" s="5">
        <f>IF(C7074="","",IF(AND(MONTH(C7074)&gt;=1,MONTH(C7074)&lt;=3),1,IF(AND(MONTH(C7074)&gt;=4,MONTH(C7074)&lt;=6),2,IF(AND(MONTH(C7074)&gt;=7,MONTH(C7074)&lt;=9),3,4))))</f>
        <v>4</v>
      </c>
      <c r="D7075" s="36"/>
      <c r="E7075" s="7" t="s">
        <v>41</v>
      </c>
      <c r="F7075" s="6"/>
    </row>
    <row r="7076" spans="1:6" ht="15.75" thickBot="1" x14ac:dyDescent="0.3">
      <c r="A7076" s="40"/>
      <c r="B7076" s="40"/>
      <c r="C7076" s="40"/>
      <c r="D7076" s="40"/>
      <c r="E7076" s="40"/>
      <c r="F7076" s="40"/>
    </row>
    <row r="7077" spans="1:6" ht="15.75" thickBot="1" x14ac:dyDescent="0.3">
      <c r="A7077" s="12" t="s">
        <v>42</v>
      </c>
      <c r="B7077" s="12" t="s">
        <v>43</v>
      </c>
      <c r="C7077" s="12" t="s">
        <v>44</v>
      </c>
      <c r="D7077" s="12" t="s">
        <v>45</v>
      </c>
      <c r="E7077" s="12" t="s">
        <v>46</v>
      </c>
      <c r="F7077" s="12" t="s">
        <v>47</v>
      </c>
    </row>
    <row r="7078" spans="1:6" x14ac:dyDescent="0.25">
      <c r="A7078" s="8">
        <v>49161608</v>
      </c>
      <c r="B7078" s="9" t="str">
        <f t="shared" ref="B7078:B7095" ca="1" si="165">IFERROR(INDEX(UNSPSCDes,MATCH(INDIRECT(ADDRESS(ROW(),COLUMN()-1,4)),UNSPSCCode,0)),"")</f>
        <v>Balones de voleibol</v>
      </c>
      <c r="C7078" s="33" t="s">
        <v>55</v>
      </c>
      <c r="D7078" s="8">
        <v>100</v>
      </c>
      <c r="E7078" s="11">
        <v>1593</v>
      </c>
      <c r="F7078" s="10">
        <f t="shared" ref="F7078:F7095" ca="1" si="166">INDIRECT(ADDRESS(ROW(),COLUMN()-2,4))*INDIRECT(ADDRESS(ROW(),COLUMN()-1,4))</f>
        <v>159300</v>
      </c>
    </row>
    <row r="7079" spans="1:6" x14ac:dyDescent="0.25">
      <c r="A7079" s="8">
        <v>49161603</v>
      </c>
      <c r="B7079" s="9" t="str">
        <f t="shared" ca="1" si="165"/>
        <v>Pelotas de básquetbol</v>
      </c>
      <c r="C7079" s="33" t="s">
        <v>55</v>
      </c>
      <c r="D7079" s="8">
        <v>30</v>
      </c>
      <c r="E7079" s="11">
        <v>1640</v>
      </c>
      <c r="F7079" s="10">
        <f t="shared" ca="1" si="166"/>
        <v>49200</v>
      </c>
    </row>
    <row r="7080" spans="1:6" x14ac:dyDescent="0.25">
      <c r="A7080" s="8">
        <v>49161603</v>
      </c>
      <c r="B7080" s="9" t="str">
        <f t="shared" ca="1" si="165"/>
        <v>Pelotas de básquetbol</v>
      </c>
      <c r="C7080" s="33" t="s">
        <v>55</v>
      </c>
      <c r="D7080" s="8">
        <v>100</v>
      </c>
      <c r="E7080" s="11">
        <v>1593</v>
      </c>
      <c r="F7080" s="10">
        <f t="shared" ca="1" si="166"/>
        <v>159300</v>
      </c>
    </row>
    <row r="7081" spans="1:6" x14ac:dyDescent="0.25">
      <c r="A7081" s="8">
        <v>49161503</v>
      </c>
      <c r="B7081" s="9" t="str">
        <f t="shared" ca="1" si="165"/>
        <v>Pelotas de beisbol</v>
      </c>
      <c r="C7081" s="33" t="s">
        <v>55</v>
      </c>
      <c r="D7081" s="8">
        <v>100</v>
      </c>
      <c r="E7081" s="11">
        <v>425</v>
      </c>
      <c r="F7081" s="10">
        <f t="shared" ca="1" si="166"/>
        <v>42500</v>
      </c>
    </row>
    <row r="7082" spans="1:6" x14ac:dyDescent="0.25">
      <c r="A7082" s="8">
        <v>49161509</v>
      </c>
      <c r="B7082" s="9" t="str">
        <f t="shared" ca="1" si="165"/>
        <v>Balones de softbol</v>
      </c>
      <c r="C7082" s="33" t="s">
        <v>55</v>
      </c>
      <c r="D7082" s="8">
        <v>100</v>
      </c>
      <c r="E7082" s="11">
        <v>477.9</v>
      </c>
      <c r="F7082" s="10">
        <f t="shared" ca="1" si="166"/>
        <v>47790</v>
      </c>
    </row>
    <row r="7083" spans="1:6" x14ac:dyDescent="0.25">
      <c r="A7083" s="8">
        <v>49161504</v>
      </c>
      <c r="B7083" s="9" t="str">
        <f t="shared" ca="1" si="165"/>
        <v>Balones de futbol</v>
      </c>
      <c r="C7083" s="33" t="s">
        <v>55</v>
      </c>
      <c r="D7083" s="8">
        <v>50</v>
      </c>
      <c r="E7083" s="11">
        <v>1593</v>
      </c>
      <c r="F7083" s="10">
        <f t="shared" ca="1" si="166"/>
        <v>79650</v>
      </c>
    </row>
    <row r="7084" spans="1:6" x14ac:dyDescent="0.25">
      <c r="A7084" s="8">
        <v>49161504</v>
      </c>
      <c r="B7084" s="9" t="str">
        <f t="shared" ca="1" si="165"/>
        <v>Balones de futbol</v>
      </c>
      <c r="C7084" s="33" t="s">
        <v>55</v>
      </c>
      <c r="D7084" s="8">
        <v>60</v>
      </c>
      <c r="E7084" s="11">
        <v>1593</v>
      </c>
      <c r="F7084" s="10">
        <f t="shared" ca="1" si="166"/>
        <v>95580</v>
      </c>
    </row>
    <row r="7085" spans="1:6" x14ac:dyDescent="0.25">
      <c r="A7085" s="8">
        <v>49221502</v>
      </c>
      <c r="B7085" s="9" t="str">
        <f t="shared" ca="1" si="165"/>
        <v>Porterías</v>
      </c>
      <c r="C7085" s="33" t="s">
        <v>55</v>
      </c>
      <c r="D7085" s="8">
        <v>30</v>
      </c>
      <c r="E7085" s="11">
        <v>1416</v>
      </c>
      <c r="F7085" s="10">
        <f t="shared" ca="1" si="166"/>
        <v>42480</v>
      </c>
    </row>
    <row r="7086" spans="1:6" x14ac:dyDescent="0.25">
      <c r="A7086" s="8">
        <v>49181509</v>
      </c>
      <c r="B7086" s="9" t="str">
        <f t="shared" ca="1" si="165"/>
        <v>Bolas de ping pong</v>
      </c>
      <c r="C7086" s="33" t="s">
        <v>55</v>
      </c>
      <c r="D7086" s="8">
        <v>100</v>
      </c>
      <c r="E7086" s="11">
        <v>94.4</v>
      </c>
      <c r="F7086" s="10">
        <f t="shared" ca="1" si="166"/>
        <v>9440</v>
      </c>
    </row>
    <row r="7087" spans="1:6" x14ac:dyDescent="0.25">
      <c r="A7087" s="8">
        <v>49161603</v>
      </c>
      <c r="B7087" s="9" t="str">
        <f t="shared" ca="1" si="165"/>
        <v>Pelotas de básquetbol</v>
      </c>
      <c r="C7087" s="33" t="s">
        <v>55</v>
      </c>
      <c r="D7087" s="8">
        <v>50</v>
      </c>
      <c r="E7087" s="11">
        <v>2950</v>
      </c>
      <c r="F7087" s="10">
        <f t="shared" ca="1" si="166"/>
        <v>147500</v>
      </c>
    </row>
    <row r="7088" spans="1:6" x14ac:dyDescent="0.25">
      <c r="A7088" s="8">
        <v>49161603</v>
      </c>
      <c r="B7088" s="9" t="str">
        <f t="shared" ca="1" si="165"/>
        <v>Pelotas de básquetbol</v>
      </c>
      <c r="C7088" s="33" t="s">
        <v>55</v>
      </c>
      <c r="D7088" s="8">
        <v>25</v>
      </c>
      <c r="E7088" s="11">
        <v>3304</v>
      </c>
      <c r="F7088" s="10">
        <f t="shared" ca="1" si="166"/>
        <v>82600</v>
      </c>
    </row>
    <row r="7089" spans="1:6" x14ac:dyDescent="0.25">
      <c r="A7089" s="8">
        <v>49161503</v>
      </c>
      <c r="B7089" s="9" t="str">
        <f t="shared" ca="1" si="165"/>
        <v>Pelotas de beisbol</v>
      </c>
      <c r="C7089" s="33" t="s">
        <v>55</v>
      </c>
      <c r="D7089" s="8">
        <v>25</v>
      </c>
      <c r="E7089" s="11">
        <v>295</v>
      </c>
      <c r="F7089" s="10">
        <f t="shared" ca="1" si="166"/>
        <v>7375</v>
      </c>
    </row>
    <row r="7090" spans="1:6" x14ac:dyDescent="0.25">
      <c r="A7090" s="8">
        <v>49221507</v>
      </c>
      <c r="B7090" s="9" t="str">
        <f t="shared" ca="1" si="165"/>
        <v>Tableros de basquetbol</v>
      </c>
      <c r="C7090" s="33" t="s">
        <v>55</v>
      </c>
      <c r="D7090" s="8">
        <v>10</v>
      </c>
      <c r="E7090" s="11">
        <v>41300</v>
      </c>
      <c r="F7090" s="10">
        <f t="shared" ca="1" si="166"/>
        <v>413000</v>
      </c>
    </row>
    <row r="7091" spans="1:6" x14ac:dyDescent="0.25">
      <c r="A7091" s="8">
        <v>49221505</v>
      </c>
      <c r="B7091" s="9" t="str">
        <f t="shared" ca="1" si="165"/>
        <v>Mallas o redes para deportes</v>
      </c>
      <c r="C7091" s="33" t="s">
        <v>55</v>
      </c>
      <c r="D7091" s="8">
        <v>25</v>
      </c>
      <c r="E7091" s="11">
        <v>241.9</v>
      </c>
      <c r="F7091" s="10">
        <f t="shared" ca="1" si="166"/>
        <v>6047.5</v>
      </c>
    </row>
    <row r="7092" spans="1:6" x14ac:dyDescent="0.25">
      <c r="A7092" s="8">
        <v>49161506</v>
      </c>
      <c r="B7092" s="9" t="str">
        <f t="shared" ca="1" si="165"/>
        <v>Bates de beisbol</v>
      </c>
      <c r="C7092" s="33" t="s">
        <v>55</v>
      </c>
      <c r="D7092" s="8">
        <v>25</v>
      </c>
      <c r="E7092" s="11">
        <v>5074</v>
      </c>
      <c r="F7092" s="10">
        <f t="shared" ca="1" si="166"/>
        <v>126850</v>
      </c>
    </row>
    <row r="7093" spans="1:6" x14ac:dyDescent="0.25">
      <c r="A7093" s="8">
        <v>49161520</v>
      </c>
      <c r="B7093" s="9" t="str">
        <f t="shared" ca="1" si="165"/>
        <v>Bates de softbol</v>
      </c>
      <c r="C7093" s="33" t="s">
        <v>55</v>
      </c>
      <c r="D7093" s="8">
        <v>10</v>
      </c>
      <c r="E7093" s="11">
        <v>4277.5</v>
      </c>
      <c r="F7093" s="10">
        <f t="shared" ca="1" si="166"/>
        <v>42775</v>
      </c>
    </row>
    <row r="7094" spans="1:6" x14ac:dyDescent="0.25">
      <c r="A7094" s="8">
        <v>49161608</v>
      </c>
      <c r="B7094" s="9" t="str">
        <f t="shared" ca="1" si="165"/>
        <v>Balones de voleibol</v>
      </c>
      <c r="C7094" s="33" t="s">
        <v>55</v>
      </c>
      <c r="D7094" s="8">
        <v>50</v>
      </c>
      <c r="E7094" s="11">
        <v>1800</v>
      </c>
      <c r="F7094" s="10">
        <f t="shared" ca="1" si="166"/>
        <v>90000</v>
      </c>
    </row>
    <row r="7095" spans="1:6" x14ac:dyDescent="0.25">
      <c r="A7095" s="8">
        <v>49161506</v>
      </c>
      <c r="B7095" s="9" t="str">
        <f t="shared" ca="1" si="165"/>
        <v>Bates de beisbol</v>
      </c>
      <c r="C7095" s="33" t="s">
        <v>55</v>
      </c>
      <c r="D7095" s="8">
        <v>15</v>
      </c>
      <c r="E7095" s="11">
        <v>4074</v>
      </c>
      <c r="F7095" s="10">
        <f t="shared" ca="1" si="166"/>
        <v>61110</v>
      </c>
    </row>
    <row r="7096" spans="1:6" x14ac:dyDescent="0.25">
      <c r="A7096" s="40"/>
      <c r="B7096" s="40"/>
      <c r="C7096" s="40"/>
      <c r="D7096" s="40"/>
      <c r="E7096" s="13" t="s">
        <v>87</v>
      </c>
      <c r="F7096" s="14">
        <f ca="1">SUM(Table3152319[MONTO TOTAL ESTIMADO])</f>
        <v>1662497.5</v>
      </c>
    </row>
    <row r="7097" spans="1:6" ht="15.75" thickBot="1" x14ac:dyDescent="0.3">
      <c r="A7097" s="42"/>
      <c r="B7097" s="42"/>
      <c r="C7097" s="42"/>
      <c r="D7097" s="42"/>
      <c r="E7097" s="42"/>
      <c r="F7097" s="42"/>
    </row>
    <row r="7098" spans="1:6" ht="23.25" thickBot="1" x14ac:dyDescent="0.3">
      <c r="A7098" s="4" t="s">
        <v>19</v>
      </c>
      <c r="B7098" s="4" t="s">
        <v>20</v>
      </c>
      <c r="C7098" s="4" t="s">
        <v>21</v>
      </c>
      <c r="D7098" s="4" t="s">
        <v>22</v>
      </c>
      <c r="E7098" s="4" t="s">
        <v>23</v>
      </c>
      <c r="F7098" s="4" t="s">
        <v>24</v>
      </c>
    </row>
    <row r="7099" spans="1:6" ht="15.75" thickBot="1" x14ac:dyDescent="0.3">
      <c r="A7099" s="32" t="s">
        <v>533</v>
      </c>
      <c r="B7099" s="32" t="s">
        <v>534</v>
      </c>
      <c r="C7099" s="32" t="s">
        <v>27</v>
      </c>
      <c r="D7099" s="6" t="s">
        <v>28</v>
      </c>
      <c r="E7099" s="6" t="s">
        <v>262</v>
      </c>
      <c r="F7099" s="6"/>
    </row>
    <row r="7100" spans="1:6" ht="15.75" thickBot="1" x14ac:dyDescent="0.3">
      <c r="A7100" s="35" t="s">
        <v>31</v>
      </c>
      <c r="B7100" s="7" t="s">
        <v>32</v>
      </c>
      <c r="C7100" s="15">
        <v>45566</v>
      </c>
      <c r="D7100" s="35" t="s">
        <v>33</v>
      </c>
      <c r="E7100" s="7" t="s">
        <v>34</v>
      </c>
      <c r="F7100" s="6"/>
    </row>
    <row r="7101" spans="1:6" ht="15.75" thickBot="1" x14ac:dyDescent="0.3">
      <c r="A7101" s="36"/>
      <c r="B7101" s="7" t="s">
        <v>36</v>
      </c>
      <c r="C7101" s="5">
        <f>IF(C7100="","",IF(AND(MONTH(C7100)&gt;=1,MONTH(C7100)&lt;=3),1,IF(AND(MONTH(C7100)&gt;=4,MONTH(C7100)&lt;=6),2,IF(AND(MONTH(C7100)&gt;=7,MONTH(C7100)&lt;=9),3,4))))</f>
        <v>4</v>
      </c>
      <c r="D7101" s="36"/>
      <c r="E7101" s="7" t="s">
        <v>37</v>
      </c>
      <c r="F7101" s="6"/>
    </row>
    <row r="7102" spans="1:6" ht="15.75" thickBot="1" x14ac:dyDescent="0.3">
      <c r="A7102" s="36"/>
      <c r="B7102" s="7" t="s">
        <v>39</v>
      </c>
      <c r="C7102" s="15">
        <v>45656</v>
      </c>
      <c r="D7102" s="36"/>
      <c r="E7102" s="7" t="s">
        <v>40</v>
      </c>
      <c r="F7102" s="6"/>
    </row>
    <row r="7103" spans="1:6" ht="15.75" thickBot="1" x14ac:dyDescent="0.3">
      <c r="A7103" s="36"/>
      <c r="B7103" s="7" t="s">
        <v>36</v>
      </c>
      <c r="C7103" s="5">
        <f>IF(C7102="","",IF(AND(MONTH(C7102)&gt;=1,MONTH(C7102)&lt;=3),1,IF(AND(MONTH(C7102)&gt;=4,MONTH(C7102)&lt;=6),2,IF(AND(MONTH(C7102)&gt;=7,MONTH(C7102)&lt;=9),3,4))))</f>
        <v>4</v>
      </c>
      <c r="D7103" s="36"/>
      <c r="E7103" s="7" t="s">
        <v>41</v>
      </c>
      <c r="F7103" s="6"/>
    </row>
    <row r="7104" spans="1:6" ht="15.75" thickBot="1" x14ac:dyDescent="0.3">
      <c r="A7104" s="40"/>
      <c r="B7104" s="40"/>
      <c r="C7104" s="40"/>
      <c r="D7104" s="40"/>
      <c r="E7104" s="40"/>
      <c r="F7104" s="40"/>
    </row>
    <row r="7105" spans="1:6" ht="15.75" thickBot="1" x14ac:dyDescent="0.3">
      <c r="A7105" s="12" t="s">
        <v>42</v>
      </c>
      <c r="B7105" s="12" t="s">
        <v>43</v>
      </c>
      <c r="C7105" s="12" t="s">
        <v>44</v>
      </c>
      <c r="D7105" s="12" t="s">
        <v>45</v>
      </c>
      <c r="E7105" s="12" t="s">
        <v>46</v>
      </c>
      <c r="F7105" s="12" t="s">
        <v>47</v>
      </c>
    </row>
    <row r="7106" spans="1:6" x14ac:dyDescent="0.25">
      <c r="A7106" s="8">
        <v>50202301</v>
      </c>
      <c r="B7106" s="9" t="str">
        <f ca="1">IFERROR(INDEX(UNSPSCDes,MATCH(INDIRECT(ADDRESS(ROW(),COLUMN()-1,4)),UNSPSCCode,0)),"")</f>
        <v>Agua</v>
      </c>
      <c r="C7106" s="33" t="s">
        <v>55</v>
      </c>
      <c r="D7106" s="8">
        <v>10000</v>
      </c>
      <c r="E7106" s="11">
        <v>160</v>
      </c>
      <c r="F7106" s="10">
        <f ca="1">INDIRECT(ADDRESS(ROW(),COLUMN()-2,4))*INDIRECT(ADDRESS(ROW(),COLUMN()-1,4))</f>
        <v>1600000</v>
      </c>
    </row>
    <row r="7107" spans="1:6" x14ac:dyDescent="0.25">
      <c r="A7107" s="40"/>
      <c r="B7107" s="40"/>
      <c r="C7107" s="40"/>
      <c r="D7107" s="40"/>
      <c r="E7107" s="13" t="s">
        <v>87</v>
      </c>
      <c r="F7107" s="14">
        <f ca="1">SUM(Table3153320[MONTO TOTAL ESTIMADO])</f>
        <v>1600000</v>
      </c>
    </row>
    <row r="7108" spans="1:6" ht="15.75" thickBot="1" x14ac:dyDescent="0.3">
      <c r="A7108" s="42"/>
      <c r="B7108" s="42"/>
      <c r="C7108" s="42"/>
      <c r="D7108" s="42"/>
      <c r="E7108" s="42"/>
      <c r="F7108" s="42"/>
    </row>
    <row r="7109" spans="1:6" ht="23.25" thickBot="1" x14ac:dyDescent="0.3">
      <c r="A7109" s="4" t="s">
        <v>19</v>
      </c>
      <c r="B7109" s="4" t="s">
        <v>20</v>
      </c>
      <c r="C7109" s="4" t="s">
        <v>21</v>
      </c>
      <c r="D7109" s="4" t="s">
        <v>22</v>
      </c>
      <c r="E7109" s="4" t="s">
        <v>23</v>
      </c>
      <c r="F7109" s="4" t="s">
        <v>24</v>
      </c>
    </row>
    <row r="7110" spans="1:6" ht="15.75" thickBot="1" x14ac:dyDescent="0.3">
      <c r="A7110" s="32" t="s">
        <v>510</v>
      </c>
      <c r="B7110" s="32" t="s">
        <v>511</v>
      </c>
      <c r="C7110" s="32" t="s">
        <v>27</v>
      </c>
      <c r="D7110" s="6" t="s">
        <v>28</v>
      </c>
      <c r="E7110" s="6" t="s">
        <v>262</v>
      </c>
      <c r="F7110" s="6"/>
    </row>
    <row r="7111" spans="1:6" ht="15.75" thickBot="1" x14ac:dyDescent="0.3">
      <c r="A7111" s="35" t="s">
        <v>31</v>
      </c>
      <c r="B7111" s="7" t="s">
        <v>32</v>
      </c>
      <c r="C7111" s="15">
        <v>45566</v>
      </c>
      <c r="D7111" s="35" t="s">
        <v>33</v>
      </c>
      <c r="E7111" s="7" t="s">
        <v>34</v>
      </c>
      <c r="F7111" s="6"/>
    </row>
    <row r="7112" spans="1:6" ht="15.75" thickBot="1" x14ac:dyDescent="0.3">
      <c r="A7112" s="36"/>
      <c r="B7112" s="7" t="s">
        <v>36</v>
      </c>
      <c r="C7112" s="5">
        <f>IF(C7111="","",IF(AND(MONTH(C7111)&gt;=1,MONTH(C7111)&lt;=3),1,IF(AND(MONTH(C7111)&gt;=4,MONTH(C7111)&lt;=6),2,IF(AND(MONTH(C7111)&gt;=7,MONTH(C7111)&lt;=9),3,4))))</f>
        <v>4</v>
      </c>
      <c r="D7112" s="36"/>
      <c r="E7112" s="7" t="s">
        <v>37</v>
      </c>
      <c r="F7112" s="6"/>
    </row>
    <row r="7113" spans="1:6" ht="15.75" thickBot="1" x14ac:dyDescent="0.3">
      <c r="A7113" s="36"/>
      <c r="B7113" s="7" t="s">
        <v>39</v>
      </c>
      <c r="C7113" s="15">
        <v>45656</v>
      </c>
      <c r="D7113" s="36"/>
      <c r="E7113" s="7" t="s">
        <v>40</v>
      </c>
      <c r="F7113" s="6"/>
    </row>
    <row r="7114" spans="1:6" ht="15.75" thickBot="1" x14ac:dyDescent="0.3">
      <c r="A7114" s="36"/>
      <c r="B7114" s="7" t="s">
        <v>36</v>
      </c>
      <c r="C7114" s="5">
        <f>IF(C7113="","",IF(AND(MONTH(C7113)&gt;=1,MONTH(C7113)&lt;=3),1,IF(AND(MONTH(C7113)&gt;=4,MONTH(C7113)&lt;=6),2,IF(AND(MONTH(C7113)&gt;=7,MONTH(C7113)&lt;=9),3,4))))</f>
        <v>4</v>
      </c>
      <c r="D7114" s="36"/>
      <c r="E7114" s="7" t="s">
        <v>41</v>
      </c>
      <c r="F7114" s="6"/>
    </row>
    <row r="7115" spans="1:6" ht="15.75" thickBot="1" x14ac:dyDescent="0.3">
      <c r="A7115" s="40"/>
      <c r="B7115" s="40"/>
      <c r="C7115" s="40"/>
      <c r="D7115" s="40"/>
      <c r="E7115" s="40"/>
      <c r="F7115" s="40"/>
    </row>
    <row r="7116" spans="1:6" ht="15.75" thickBot="1" x14ac:dyDescent="0.3">
      <c r="A7116" s="12" t="s">
        <v>42</v>
      </c>
      <c r="B7116" s="12" t="s">
        <v>43</v>
      </c>
      <c r="C7116" s="12" t="s">
        <v>44</v>
      </c>
      <c r="D7116" s="12" t="s">
        <v>45</v>
      </c>
      <c r="E7116" s="12" t="s">
        <v>46</v>
      </c>
      <c r="F7116" s="12" t="s">
        <v>47</v>
      </c>
    </row>
    <row r="7117" spans="1:6" x14ac:dyDescent="0.25">
      <c r="A7117" s="8">
        <v>49161608</v>
      </c>
      <c r="B7117" s="9" t="str">
        <f t="shared" ref="B7117:B7134" ca="1" si="167">IFERROR(INDEX(UNSPSCDes,MATCH(INDIRECT(ADDRESS(ROW(),COLUMN()-1,4)),UNSPSCCode,0)),"")</f>
        <v>Balones de voleibol</v>
      </c>
      <c r="C7117" s="33" t="s">
        <v>55</v>
      </c>
      <c r="D7117" s="8">
        <v>100</v>
      </c>
      <c r="E7117" s="11">
        <v>1593</v>
      </c>
      <c r="F7117" s="10">
        <f t="shared" ref="F7117:F7134" ca="1" si="168">INDIRECT(ADDRESS(ROW(),COLUMN()-2,4))*INDIRECT(ADDRESS(ROW(),COLUMN()-1,4))</f>
        <v>159300</v>
      </c>
    </row>
    <row r="7118" spans="1:6" x14ac:dyDescent="0.25">
      <c r="A7118" s="8">
        <v>49161603</v>
      </c>
      <c r="B7118" s="9" t="str">
        <f t="shared" ca="1" si="167"/>
        <v>Pelotas de básquetbol</v>
      </c>
      <c r="C7118" s="33" t="s">
        <v>55</v>
      </c>
      <c r="D7118" s="8">
        <v>30</v>
      </c>
      <c r="E7118" s="11">
        <v>1640</v>
      </c>
      <c r="F7118" s="10">
        <f t="shared" ca="1" si="168"/>
        <v>49200</v>
      </c>
    </row>
    <row r="7119" spans="1:6" x14ac:dyDescent="0.25">
      <c r="A7119" s="8">
        <v>49161603</v>
      </c>
      <c r="B7119" s="9" t="str">
        <f t="shared" ca="1" si="167"/>
        <v>Pelotas de básquetbol</v>
      </c>
      <c r="C7119" s="33" t="s">
        <v>55</v>
      </c>
      <c r="D7119" s="8">
        <v>100</v>
      </c>
      <c r="E7119" s="11">
        <v>1593</v>
      </c>
      <c r="F7119" s="10">
        <f t="shared" ca="1" si="168"/>
        <v>159300</v>
      </c>
    </row>
    <row r="7120" spans="1:6" x14ac:dyDescent="0.25">
      <c r="A7120" s="8">
        <v>49161503</v>
      </c>
      <c r="B7120" s="9" t="str">
        <f t="shared" ca="1" si="167"/>
        <v>Pelotas de beisbol</v>
      </c>
      <c r="C7120" s="33" t="s">
        <v>55</v>
      </c>
      <c r="D7120" s="8">
        <v>100</v>
      </c>
      <c r="E7120" s="11">
        <v>425</v>
      </c>
      <c r="F7120" s="10">
        <f t="shared" ca="1" si="168"/>
        <v>42500</v>
      </c>
    </row>
    <row r="7121" spans="1:6" x14ac:dyDescent="0.25">
      <c r="A7121" s="8">
        <v>49161509</v>
      </c>
      <c r="B7121" s="9" t="str">
        <f t="shared" ca="1" si="167"/>
        <v>Balones de softbol</v>
      </c>
      <c r="C7121" s="33" t="s">
        <v>55</v>
      </c>
      <c r="D7121" s="8">
        <v>100</v>
      </c>
      <c r="E7121" s="11">
        <v>477.9</v>
      </c>
      <c r="F7121" s="10">
        <f t="shared" ca="1" si="168"/>
        <v>47790</v>
      </c>
    </row>
    <row r="7122" spans="1:6" x14ac:dyDescent="0.25">
      <c r="A7122" s="8">
        <v>49161504</v>
      </c>
      <c r="B7122" s="9" t="str">
        <f t="shared" ca="1" si="167"/>
        <v>Balones de futbol</v>
      </c>
      <c r="C7122" s="33" t="s">
        <v>55</v>
      </c>
      <c r="D7122" s="8">
        <v>50</v>
      </c>
      <c r="E7122" s="11">
        <v>1593</v>
      </c>
      <c r="F7122" s="10">
        <f t="shared" ca="1" si="168"/>
        <v>79650</v>
      </c>
    </row>
    <row r="7123" spans="1:6" x14ac:dyDescent="0.25">
      <c r="A7123" s="8">
        <v>49161504</v>
      </c>
      <c r="B7123" s="9" t="str">
        <f t="shared" ca="1" si="167"/>
        <v>Balones de futbol</v>
      </c>
      <c r="C7123" s="33" t="s">
        <v>55</v>
      </c>
      <c r="D7123" s="8">
        <v>60</v>
      </c>
      <c r="E7123" s="11">
        <v>1593</v>
      </c>
      <c r="F7123" s="10">
        <f t="shared" ca="1" si="168"/>
        <v>95580</v>
      </c>
    </row>
    <row r="7124" spans="1:6" x14ac:dyDescent="0.25">
      <c r="A7124" s="8">
        <v>49221502</v>
      </c>
      <c r="B7124" s="9" t="str">
        <f t="shared" ca="1" si="167"/>
        <v>Porterías</v>
      </c>
      <c r="C7124" s="33" t="s">
        <v>55</v>
      </c>
      <c r="D7124" s="8">
        <v>30</v>
      </c>
      <c r="E7124" s="11">
        <v>1416</v>
      </c>
      <c r="F7124" s="10">
        <f t="shared" ca="1" si="168"/>
        <v>42480</v>
      </c>
    </row>
    <row r="7125" spans="1:6" x14ac:dyDescent="0.25">
      <c r="A7125" s="8">
        <v>49181509</v>
      </c>
      <c r="B7125" s="9" t="str">
        <f t="shared" ca="1" si="167"/>
        <v>Bolas de ping pong</v>
      </c>
      <c r="C7125" s="33" t="s">
        <v>55</v>
      </c>
      <c r="D7125" s="8">
        <v>100</v>
      </c>
      <c r="E7125" s="11">
        <v>94.4</v>
      </c>
      <c r="F7125" s="10">
        <f t="shared" ca="1" si="168"/>
        <v>9440</v>
      </c>
    </row>
    <row r="7126" spans="1:6" x14ac:dyDescent="0.25">
      <c r="A7126" s="8">
        <v>49161603</v>
      </c>
      <c r="B7126" s="9" t="str">
        <f t="shared" ca="1" si="167"/>
        <v>Pelotas de básquetbol</v>
      </c>
      <c r="C7126" s="33" t="s">
        <v>55</v>
      </c>
      <c r="D7126" s="8">
        <v>50</v>
      </c>
      <c r="E7126" s="11">
        <v>2950</v>
      </c>
      <c r="F7126" s="10">
        <f t="shared" ca="1" si="168"/>
        <v>147500</v>
      </c>
    </row>
    <row r="7127" spans="1:6" x14ac:dyDescent="0.25">
      <c r="A7127" s="8">
        <v>49161603</v>
      </c>
      <c r="B7127" s="9" t="str">
        <f t="shared" ca="1" si="167"/>
        <v>Pelotas de básquetbol</v>
      </c>
      <c r="C7127" s="33" t="s">
        <v>55</v>
      </c>
      <c r="D7127" s="8">
        <v>25</v>
      </c>
      <c r="E7127" s="11">
        <v>3304</v>
      </c>
      <c r="F7127" s="10">
        <f t="shared" ca="1" si="168"/>
        <v>82600</v>
      </c>
    </row>
    <row r="7128" spans="1:6" x14ac:dyDescent="0.25">
      <c r="A7128" s="8">
        <v>49161503</v>
      </c>
      <c r="B7128" s="9" t="str">
        <f t="shared" ca="1" si="167"/>
        <v>Pelotas de beisbol</v>
      </c>
      <c r="C7128" s="33" t="s">
        <v>55</v>
      </c>
      <c r="D7128" s="8">
        <v>25</v>
      </c>
      <c r="E7128" s="11">
        <v>295</v>
      </c>
      <c r="F7128" s="10">
        <f t="shared" ca="1" si="168"/>
        <v>7375</v>
      </c>
    </row>
    <row r="7129" spans="1:6" x14ac:dyDescent="0.25">
      <c r="A7129" s="8">
        <v>49221507</v>
      </c>
      <c r="B7129" s="9" t="str">
        <f t="shared" ca="1" si="167"/>
        <v>Tableros de basquetbol</v>
      </c>
      <c r="C7129" s="33" t="s">
        <v>55</v>
      </c>
      <c r="D7129" s="8">
        <v>10</v>
      </c>
      <c r="E7129" s="11">
        <v>41300</v>
      </c>
      <c r="F7129" s="10">
        <f t="shared" ca="1" si="168"/>
        <v>413000</v>
      </c>
    </row>
    <row r="7130" spans="1:6" x14ac:dyDescent="0.25">
      <c r="A7130" s="8">
        <v>49221505</v>
      </c>
      <c r="B7130" s="9" t="str">
        <f t="shared" ca="1" si="167"/>
        <v>Mallas o redes para deportes</v>
      </c>
      <c r="C7130" s="33" t="s">
        <v>55</v>
      </c>
      <c r="D7130" s="8">
        <v>25</v>
      </c>
      <c r="E7130" s="11">
        <v>241.9</v>
      </c>
      <c r="F7130" s="10">
        <f t="shared" ca="1" si="168"/>
        <v>6047.5</v>
      </c>
    </row>
    <row r="7131" spans="1:6" x14ac:dyDescent="0.25">
      <c r="A7131" s="8">
        <v>49161506</v>
      </c>
      <c r="B7131" s="9" t="str">
        <f t="shared" ca="1" si="167"/>
        <v>Bates de beisbol</v>
      </c>
      <c r="C7131" s="33" t="s">
        <v>55</v>
      </c>
      <c r="D7131" s="8">
        <v>25</v>
      </c>
      <c r="E7131" s="11">
        <v>5074</v>
      </c>
      <c r="F7131" s="10">
        <f t="shared" ca="1" si="168"/>
        <v>126850</v>
      </c>
    </row>
    <row r="7132" spans="1:6" x14ac:dyDescent="0.25">
      <c r="A7132" s="8">
        <v>49161520</v>
      </c>
      <c r="B7132" s="9" t="str">
        <f t="shared" ca="1" si="167"/>
        <v>Bates de softbol</v>
      </c>
      <c r="C7132" s="33" t="s">
        <v>55</v>
      </c>
      <c r="D7132" s="8">
        <v>10</v>
      </c>
      <c r="E7132" s="11">
        <v>4277.5</v>
      </c>
      <c r="F7132" s="10">
        <f t="shared" ca="1" si="168"/>
        <v>42775</v>
      </c>
    </row>
    <row r="7133" spans="1:6" x14ac:dyDescent="0.25">
      <c r="A7133" s="8">
        <v>49161608</v>
      </c>
      <c r="B7133" s="9" t="str">
        <f t="shared" ca="1" si="167"/>
        <v>Balones de voleibol</v>
      </c>
      <c r="C7133" s="33" t="s">
        <v>55</v>
      </c>
      <c r="D7133" s="8">
        <v>50</v>
      </c>
      <c r="E7133" s="11">
        <v>1800</v>
      </c>
      <c r="F7133" s="10">
        <f t="shared" ca="1" si="168"/>
        <v>90000</v>
      </c>
    </row>
    <row r="7134" spans="1:6" x14ac:dyDescent="0.25">
      <c r="A7134" s="8">
        <v>49161506</v>
      </c>
      <c r="B7134" s="9" t="str">
        <f t="shared" ca="1" si="167"/>
        <v>Bates de beisbol</v>
      </c>
      <c r="C7134" s="33" t="s">
        <v>55</v>
      </c>
      <c r="D7134" s="8">
        <v>15</v>
      </c>
      <c r="E7134" s="11">
        <v>4074</v>
      </c>
      <c r="F7134" s="10">
        <f t="shared" ca="1" si="168"/>
        <v>61110</v>
      </c>
    </row>
    <row r="7135" spans="1:6" x14ac:dyDescent="0.25">
      <c r="A7135" s="40"/>
      <c r="B7135" s="40"/>
      <c r="C7135" s="40"/>
      <c r="D7135" s="40"/>
      <c r="E7135" s="13" t="s">
        <v>87</v>
      </c>
      <c r="F7135" s="14">
        <f ca="1">SUM(Table3154321[MONTO TOTAL ESTIMADO])</f>
        <v>1662497.5</v>
      </c>
    </row>
    <row r="7136" spans="1:6" ht="15.75" thickBot="1" x14ac:dyDescent="0.3">
      <c r="A7136" s="42"/>
      <c r="B7136" s="42"/>
      <c r="C7136" s="42"/>
      <c r="D7136" s="42"/>
      <c r="E7136" s="42"/>
      <c r="F7136" s="42"/>
    </row>
    <row r="7137" spans="1:6" ht="23.25" thickBot="1" x14ac:dyDescent="0.3">
      <c r="A7137" s="4" t="s">
        <v>19</v>
      </c>
      <c r="B7137" s="4" t="s">
        <v>20</v>
      </c>
      <c r="C7137" s="4" t="s">
        <v>21</v>
      </c>
      <c r="D7137" s="4" t="s">
        <v>22</v>
      </c>
      <c r="E7137" s="4" t="s">
        <v>23</v>
      </c>
      <c r="F7137" s="4" t="s">
        <v>24</v>
      </c>
    </row>
    <row r="7138" spans="1:6" ht="15.75" thickBot="1" x14ac:dyDescent="0.3">
      <c r="A7138" s="32" t="s">
        <v>535</v>
      </c>
      <c r="B7138" s="32" t="s">
        <v>536</v>
      </c>
      <c r="C7138" s="32" t="s">
        <v>27</v>
      </c>
      <c r="D7138" s="6" t="s">
        <v>28</v>
      </c>
      <c r="E7138" s="6" t="s">
        <v>262</v>
      </c>
      <c r="F7138" s="6"/>
    </row>
    <row r="7139" spans="1:6" ht="15.75" thickBot="1" x14ac:dyDescent="0.3">
      <c r="A7139" s="35" t="s">
        <v>31</v>
      </c>
      <c r="B7139" s="7" t="s">
        <v>32</v>
      </c>
      <c r="C7139" s="15">
        <v>45566</v>
      </c>
      <c r="D7139" s="35" t="s">
        <v>33</v>
      </c>
      <c r="E7139" s="7" t="s">
        <v>34</v>
      </c>
      <c r="F7139" s="6"/>
    </row>
    <row r="7140" spans="1:6" ht="15.75" thickBot="1" x14ac:dyDescent="0.3">
      <c r="A7140" s="36"/>
      <c r="B7140" s="7" t="s">
        <v>36</v>
      </c>
      <c r="C7140" s="5">
        <f>IF(C7139="","",IF(AND(MONTH(C7139)&gt;=1,MONTH(C7139)&lt;=3),1,IF(AND(MONTH(C7139)&gt;=4,MONTH(C7139)&lt;=6),2,IF(AND(MONTH(C7139)&gt;=7,MONTH(C7139)&lt;=9),3,4))))</f>
        <v>4</v>
      </c>
      <c r="D7140" s="36"/>
      <c r="E7140" s="7" t="s">
        <v>37</v>
      </c>
      <c r="F7140" s="6"/>
    </row>
    <row r="7141" spans="1:6" ht="15.75" thickBot="1" x14ac:dyDescent="0.3">
      <c r="A7141" s="36"/>
      <c r="B7141" s="7" t="s">
        <v>39</v>
      </c>
      <c r="C7141" s="15">
        <v>45656</v>
      </c>
      <c r="D7141" s="36"/>
      <c r="E7141" s="7" t="s">
        <v>40</v>
      </c>
      <c r="F7141" s="6"/>
    </row>
    <row r="7142" spans="1:6" ht="15.75" thickBot="1" x14ac:dyDescent="0.3">
      <c r="A7142" s="36"/>
      <c r="B7142" s="7" t="s">
        <v>36</v>
      </c>
      <c r="C7142" s="5">
        <f>IF(C7141="","",IF(AND(MONTH(C7141)&gt;=1,MONTH(C7141)&lt;=3),1,IF(AND(MONTH(C7141)&gt;=4,MONTH(C7141)&lt;=6),2,IF(AND(MONTH(C7141)&gt;=7,MONTH(C7141)&lt;=9),3,4))))</f>
        <v>4</v>
      </c>
      <c r="D7142" s="36"/>
      <c r="E7142" s="7" t="s">
        <v>41</v>
      </c>
      <c r="F7142" s="6"/>
    </row>
    <row r="7143" spans="1:6" ht="15.75" thickBot="1" x14ac:dyDescent="0.3">
      <c r="A7143" s="40"/>
      <c r="B7143" s="40"/>
      <c r="C7143" s="40"/>
      <c r="D7143" s="40"/>
      <c r="E7143" s="40"/>
      <c r="F7143" s="40"/>
    </row>
    <row r="7144" spans="1:6" ht="15.75" thickBot="1" x14ac:dyDescent="0.3">
      <c r="A7144" s="12" t="s">
        <v>42</v>
      </c>
      <c r="B7144" s="12" t="s">
        <v>43</v>
      </c>
      <c r="C7144" s="12" t="s">
        <v>44</v>
      </c>
      <c r="D7144" s="12" t="s">
        <v>45</v>
      </c>
      <c r="E7144" s="12" t="s">
        <v>46</v>
      </c>
      <c r="F7144" s="12" t="s">
        <v>47</v>
      </c>
    </row>
    <row r="7145" spans="1:6" x14ac:dyDescent="0.25">
      <c r="A7145" s="8">
        <v>60101401</v>
      </c>
      <c r="B7145" s="9" t="str">
        <f ca="1">IFERROR(INDEX(UNSPSCDes,MATCH(INDIRECT(ADDRESS(ROW(),COLUMN()-1,4)),UNSPSCCode,0)),"")</f>
        <v>Insignias</v>
      </c>
      <c r="C7145" s="33" t="s">
        <v>55</v>
      </c>
      <c r="D7145" s="8">
        <v>1500</v>
      </c>
      <c r="E7145" s="11">
        <v>650</v>
      </c>
      <c r="F7145" s="10">
        <f ca="1">INDIRECT(ADDRESS(ROW(),COLUMN()-2,4))*INDIRECT(ADDRESS(ROW(),COLUMN()-1,4))</f>
        <v>975000</v>
      </c>
    </row>
    <row r="7146" spans="1:6" x14ac:dyDescent="0.25">
      <c r="A7146" s="8">
        <v>60101401</v>
      </c>
      <c r="B7146" s="9" t="str">
        <f ca="1">IFERROR(INDEX(UNSPSCDes,MATCH(INDIRECT(ADDRESS(ROW(),COLUMN()-1,4)),UNSPSCCode,0)),"")</f>
        <v>Insignias</v>
      </c>
      <c r="C7146" s="33" t="s">
        <v>55</v>
      </c>
      <c r="D7146" s="8">
        <v>1000</v>
      </c>
      <c r="E7146" s="11">
        <v>650</v>
      </c>
      <c r="F7146" s="10">
        <f ca="1">INDIRECT(ADDRESS(ROW(),COLUMN()-2,4))*INDIRECT(ADDRESS(ROW(),COLUMN()-1,4))</f>
        <v>650000</v>
      </c>
    </row>
    <row r="7147" spans="1:6" x14ac:dyDescent="0.25">
      <c r="A7147" s="40"/>
      <c r="B7147" s="40"/>
      <c r="C7147" s="40"/>
      <c r="D7147" s="40"/>
      <c r="E7147" s="13" t="s">
        <v>87</v>
      </c>
      <c r="F7147" s="14">
        <f ca="1">SUM(Table3155322[MONTO TOTAL ESTIMADO])</f>
        <v>1625000</v>
      </c>
    </row>
    <row r="7148" spans="1:6" ht="15.75" thickBot="1" x14ac:dyDescent="0.3">
      <c r="A7148" s="42"/>
      <c r="B7148" s="42"/>
      <c r="C7148" s="42"/>
      <c r="D7148" s="42"/>
      <c r="E7148" s="42"/>
      <c r="F7148" s="42"/>
    </row>
    <row r="7149" spans="1:6" ht="23.25" thickBot="1" x14ac:dyDescent="0.3">
      <c r="A7149" s="4" t="s">
        <v>19</v>
      </c>
      <c r="B7149" s="4" t="s">
        <v>20</v>
      </c>
      <c r="C7149" s="4" t="s">
        <v>21</v>
      </c>
      <c r="D7149" s="4" t="s">
        <v>22</v>
      </c>
      <c r="E7149" s="4" t="s">
        <v>23</v>
      </c>
      <c r="F7149" s="4" t="s">
        <v>24</v>
      </c>
    </row>
    <row r="7150" spans="1:6" ht="15.75" thickBot="1" x14ac:dyDescent="0.3">
      <c r="A7150" s="32" t="s">
        <v>538</v>
      </c>
      <c r="B7150" s="32" t="s">
        <v>539</v>
      </c>
      <c r="C7150" s="32" t="s">
        <v>27</v>
      </c>
      <c r="D7150" s="6" t="s">
        <v>28</v>
      </c>
      <c r="E7150" s="6" t="s">
        <v>262</v>
      </c>
      <c r="F7150" s="6"/>
    </row>
    <row r="7151" spans="1:6" ht="15.75" thickBot="1" x14ac:dyDescent="0.3">
      <c r="A7151" s="35" t="s">
        <v>31</v>
      </c>
      <c r="B7151" s="7" t="s">
        <v>32</v>
      </c>
      <c r="C7151" s="15">
        <v>45566</v>
      </c>
      <c r="D7151" s="35" t="s">
        <v>33</v>
      </c>
      <c r="E7151" s="7" t="s">
        <v>34</v>
      </c>
      <c r="F7151" s="6"/>
    </row>
    <row r="7152" spans="1:6" ht="15.75" thickBot="1" x14ac:dyDescent="0.3">
      <c r="A7152" s="36"/>
      <c r="B7152" s="7" t="s">
        <v>36</v>
      </c>
      <c r="C7152" s="5">
        <f>IF(C7151="","",IF(AND(MONTH(C7151)&gt;=1,MONTH(C7151)&lt;=3),1,IF(AND(MONTH(C7151)&gt;=4,MONTH(C7151)&lt;=6),2,IF(AND(MONTH(C7151)&gt;=7,MONTH(C7151)&lt;=9),3,4))))</f>
        <v>4</v>
      </c>
      <c r="D7152" s="36"/>
      <c r="E7152" s="7" t="s">
        <v>37</v>
      </c>
      <c r="F7152" s="6"/>
    </row>
    <row r="7153" spans="1:6" ht="15.75" thickBot="1" x14ac:dyDescent="0.3">
      <c r="A7153" s="36"/>
      <c r="B7153" s="7" t="s">
        <v>39</v>
      </c>
      <c r="C7153" s="15">
        <v>45656</v>
      </c>
      <c r="D7153" s="36"/>
      <c r="E7153" s="7" t="s">
        <v>40</v>
      </c>
      <c r="F7153" s="6"/>
    </row>
    <row r="7154" spans="1:6" ht="15.75" thickBot="1" x14ac:dyDescent="0.3">
      <c r="A7154" s="36"/>
      <c r="B7154" s="7" t="s">
        <v>36</v>
      </c>
      <c r="C7154" s="5">
        <f>IF(C7153="","",IF(AND(MONTH(C7153)&gt;=1,MONTH(C7153)&lt;=3),1,IF(AND(MONTH(C7153)&gt;=4,MONTH(C7153)&lt;=6),2,IF(AND(MONTH(C7153)&gt;=7,MONTH(C7153)&lt;=9),3,4))))</f>
        <v>4</v>
      </c>
      <c r="D7154" s="36"/>
      <c r="E7154" s="7" t="s">
        <v>41</v>
      </c>
      <c r="F7154" s="6"/>
    </row>
    <row r="7155" spans="1:6" ht="15.75" thickBot="1" x14ac:dyDescent="0.3">
      <c r="A7155" s="40"/>
      <c r="B7155" s="40"/>
      <c r="C7155" s="40"/>
      <c r="D7155" s="40"/>
      <c r="E7155" s="40"/>
      <c r="F7155" s="40"/>
    </row>
    <row r="7156" spans="1:6" ht="15.75" thickBot="1" x14ac:dyDescent="0.3">
      <c r="A7156" s="12" t="s">
        <v>42</v>
      </c>
      <c r="B7156" s="12" t="s">
        <v>43</v>
      </c>
      <c r="C7156" s="12" t="s">
        <v>44</v>
      </c>
      <c r="D7156" s="12" t="s">
        <v>45</v>
      </c>
      <c r="E7156" s="12" t="s">
        <v>46</v>
      </c>
      <c r="F7156" s="12" t="s">
        <v>47</v>
      </c>
    </row>
    <row r="7157" spans="1:6" x14ac:dyDescent="0.25">
      <c r="A7157" s="8">
        <v>53103001</v>
      </c>
      <c r="B7157" s="9" t="str">
        <f ca="1">IFERROR(INDEX(UNSPSCDes,MATCH(INDIRECT(ADDRESS(ROW(),COLUMN()-1,4)),UNSPSCCode,0)),"")</f>
        <v>Camisetas (t-shirts)</v>
      </c>
      <c r="C7157" s="33" t="s">
        <v>55</v>
      </c>
      <c r="D7157" s="8">
        <v>5000</v>
      </c>
      <c r="E7157" s="11">
        <v>350</v>
      </c>
      <c r="F7157" s="10">
        <f ca="1">INDIRECT(ADDRESS(ROW(),COLUMN()-2,4))*INDIRECT(ADDRESS(ROW(),COLUMN()-1,4))</f>
        <v>1750000</v>
      </c>
    </row>
    <row r="7158" spans="1:6" x14ac:dyDescent="0.25">
      <c r="A7158" s="40"/>
      <c r="B7158" s="40"/>
      <c r="C7158" s="40"/>
      <c r="D7158" s="40"/>
      <c r="E7158" s="13" t="s">
        <v>87</v>
      </c>
      <c r="F7158" s="14">
        <f ca="1">SUM(Table3156323[MONTO TOTAL ESTIMADO])</f>
        <v>1750000</v>
      </c>
    </row>
    <row r="7159" spans="1:6" ht="15.75" thickBot="1" x14ac:dyDescent="0.3">
      <c r="A7159" s="42"/>
      <c r="B7159" s="42"/>
      <c r="C7159" s="42"/>
      <c r="D7159" s="42"/>
      <c r="E7159" s="42"/>
      <c r="F7159" s="42"/>
    </row>
    <row r="7160" spans="1:6" ht="23.25" thickBot="1" x14ac:dyDescent="0.3">
      <c r="A7160" s="4" t="s">
        <v>19</v>
      </c>
      <c r="B7160" s="4" t="s">
        <v>20</v>
      </c>
      <c r="C7160" s="4" t="s">
        <v>21</v>
      </c>
      <c r="D7160" s="4" t="s">
        <v>22</v>
      </c>
      <c r="E7160" s="4" t="s">
        <v>23</v>
      </c>
      <c r="F7160" s="4" t="s">
        <v>24</v>
      </c>
    </row>
    <row r="7161" spans="1:6" ht="15.75" thickBot="1" x14ac:dyDescent="0.3">
      <c r="A7161" s="32" t="s">
        <v>510</v>
      </c>
      <c r="B7161" s="32" t="s">
        <v>511</v>
      </c>
      <c r="C7161" s="32" t="s">
        <v>27</v>
      </c>
      <c r="D7161" s="6" t="s">
        <v>28</v>
      </c>
      <c r="E7161" s="6" t="s">
        <v>262</v>
      </c>
      <c r="F7161" s="6"/>
    </row>
    <row r="7162" spans="1:6" ht="15.75" thickBot="1" x14ac:dyDescent="0.3">
      <c r="A7162" s="35" t="s">
        <v>31</v>
      </c>
      <c r="B7162" s="7" t="s">
        <v>32</v>
      </c>
      <c r="C7162" s="15">
        <v>45566</v>
      </c>
      <c r="D7162" s="35" t="s">
        <v>33</v>
      </c>
      <c r="E7162" s="7" t="s">
        <v>34</v>
      </c>
      <c r="F7162" s="6"/>
    </row>
    <row r="7163" spans="1:6" ht="15.75" thickBot="1" x14ac:dyDescent="0.3">
      <c r="A7163" s="36"/>
      <c r="B7163" s="7" t="s">
        <v>36</v>
      </c>
      <c r="C7163" s="5">
        <f>IF(C7162="","",IF(AND(MONTH(C7162)&gt;=1,MONTH(C7162)&lt;=3),1,IF(AND(MONTH(C7162)&gt;=4,MONTH(C7162)&lt;=6),2,IF(AND(MONTH(C7162)&gt;=7,MONTH(C7162)&lt;=9),3,4))))</f>
        <v>4</v>
      </c>
      <c r="D7163" s="36"/>
      <c r="E7163" s="7" t="s">
        <v>37</v>
      </c>
      <c r="F7163" s="6"/>
    </row>
    <row r="7164" spans="1:6" ht="15.75" thickBot="1" x14ac:dyDescent="0.3">
      <c r="A7164" s="36"/>
      <c r="B7164" s="7" t="s">
        <v>39</v>
      </c>
      <c r="C7164" s="15">
        <v>45656</v>
      </c>
      <c r="D7164" s="36"/>
      <c r="E7164" s="7" t="s">
        <v>40</v>
      </c>
      <c r="F7164" s="6"/>
    </row>
    <row r="7165" spans="1:6" ht="15.75" thickBot="1" x14ac:dyDescent="0.3">
      <c r="A7165" s="36"/>
      <c r="B7165" s="7" t="s">
        <v>36</v>
      </c>
      <c r="C7165" s="5">
        <f>IF(C7164="","",IF(AND(MONTH(C7164)&gt;=1,MONTH(C7164)&lt;=3),1,IF(AND(MONTH(C7164)&gt;=4,MONTH(C7164)&lt;=6),2,IF(AND(MONTH(C7164)&gt;=7,MONTH(C7164)&lt;=9),3,4))))</f>
        <v>4</v>
      </c>
      <c r="D7165" s="36"/>
      <c r="E7165" s="7" t="s">
        <v>41</v>
      </c>
      <c r="F7165" s="6"/>
    </row>
    <row r="7166" spans="1:6" ht="15.75" thickBot="1" x14ac:dyDescent="0.3">
      <c r="A7166" s="40"/>
      <c r="B7166" s="40"/>
      <c r="C7166" s="40"/>
      <c r="D7166" s="40"/>
      <c r="E7166" s="40"/>
      <c r="F7166" s="40"/>
    </row>
    <row r="7167" spans="1:6" ht="15.75" thickBot="1" x14ac:dyDescent="0.3">
      <c r="A7167" s="12" t="s">
        <v>42</v>
      </c>
      <c r="B7167" s="12" t="s">
        <v>43</v>
      </c>
      <c r="C7167" s="12" t="s">
        <v>44</v>
      </c>
      <c r="D7167" s="12" t="s">
        <v>45</v>
      </c>
      <c r="E7167" s="12" t="s">
        <v>46</v>
      </c>
      <c r="F7167" s="12" t="s">
        <v>47</v>
      </c>
    </row>
    <row r="7168" spans="1:6" x14ac:dyDescent="0.25">
      <c r="A7168" s="8">
        <v>49161608</v>
      </c>
      <c r="B7168" s="9" t="str">
        <f t="shared" ref="B7168:B7185" ca="1" si="169">IFERROR(INDEX(UNSPSCDes,MATCH(INDIRECT(ADDRESS(ROW(),COLUMN()-1,4)),UNSPSCCode,0)),"")</f>
        <v>Balones de voleibol</v>
      </c>
      <c r="C7168" s="33" t="s">
        <v>55</v>
      </c>
      <c r="D7168" s="8">
        <v>100</v>
      </c>
      <c r="E7168" s="11">
        <v>1593</v>
      </c>
      <c r="F7168" s="10">
        <f t="shared" ref="F7168:F7185" ca="1" si="170">INDIRECT(ADDRESS(ROW(),COLUMN()-2,4))*INDIRECT(ADDRESS(ROW(),COLUMN()-1,4))</f>
        <v>159300</v>
      </c>
    </row>
    <row r="7169" spans="1:6" x14ac:dyDescent="0.25">
      <c r="A7169" s="8">
        <v>49161603</v>
      </c>
      <c r="B7169" s="9" t="str">
        <f t="shared" ca="1" si="169"/>
        <v>Pelotas de básquetbol</v>
      </c>
      <c r="C7169" s="33" t="s">
        <v>55</v>
      </c>
      <c r="D7169" s="8">
        <v>30</v>
      </c>
      <c r="E7169" s="11">
        <v>1640</v>
      </c>
      <c r="F7169" s="10">
        <f t="shared" ca="1" si="170"/>
        <v>49200</v>
      </c>
    </row>
    <row r="7170" spans="1:6" x14ac:dyDescent="0.25">
      <c r="A7170" s="8">
        <v>49161603</v>
      </c>
      <c r="B7170" s="9" t="str">
        <f t="shared" ca="1" si="169"/>
        <v>Pelotas de básquetbol</v>
      </c>
      <c r="C7170" s="33" t="s">
        <v>55</v>
      </c>
      <c r="D7170" s="8">
        <v>100</v>
      </c>
      <c r="E7170" s="11">
        <v>1593</v>
      </c>
      <c r="F7170" s="10">
        <f t="shared" ca="1" si="170"/>
        <v>159300</v>
      </c>
    </row>
    <row r="7171" spans="1:6" x14ac:dyDescent="0.25">
      <c r="A7171" s="8">
        <v>49161503</v>
      </c>
      <c r="B7171" s="9" t="str">
        <f t="shared" ca="1" si="169"/>
        <v>Pelotas de beisbol</v>
      </c>
      <c r="C7171" s="33" t="s">
        <v>55</v>
      </c>
      <c r="D7171" s="8">
        <v>100</v>
      </c>
      <c r="E7171" s="11">
        <v>425</v>
      </c>
      <c r="F7171" s="10">
        <f t="shared" ca="1" si="170"/>
        <v>42500</v>
      </c>
    </row>
    <row r="7172" spans="1:6" x14ac:dyDescent="0.25">
      <c r="A7172" s="8">
        <v>49161509</v>
      </c>
      <c r="B7172" s="9" t="str">
        <f t="shared" ca="1" si="169"/>
        <v>Balones de softbol</v>
      </c>
      <c r="C7172" s="33" t="s">
        <v>55</v>
      </c>
      <c r="D7172" s="8">
        <v>100</v>
      </c>
      <c r="E7172" s="11">
        <v>477.9</v>
      </c>
      <c r="F7172" s="10">
        <f t="shared" ca="1" si="170"/>
        <v>47790</v>
      </c>
    </row>
    <row r="7173" spans="1:6" x14ac:dyDescent="0.25">
      <c r="A7173" s="8">
        <v>49161504</v>
      </c>
      <c r="B7173" s="9" t="str">
        <f t="shared" ca="1" si="169"/>
        <v>Balones de futbol</v>
      </c>
      <c r="C7173" s="33" t="s">
        <v>55</v>
      </c>
      <c r="D7173" s="8">
        <v>50</v>
      </c>
      <c r="E7173" s="11">
        <v>1593</v>
      </c>
      <c r="F7173" s="10">
        <f t="shared" ca="1" si="170"/>
        <v>79650</v>
      </c>
    </row>
    <row r="7174" spans="1:6" x14ac:dyDescent="0.25">
      <c r="A7174" s="8">
        <v>49161504</v>
      </c>
      <c r="B7174" s="9" t="str">
        <f t="shared" ca="1" si="169"/>
        <v>Balones de futbol</v>
      </c>
      <c r="C7174" s="33" t="s">
        <v>55</v>
      </c>
      <c r="D7174" s="8">
        <v>60</v>
      </c>
      <c r="E7174" s="11">
        <v>1593</v>
      </c>
      <c r="F7174" s="10">
        <f t="shared" ca="1" si="170"/>
        <v>95580</v>
      </c>
    </row>
    <row r="7175" spans="1:6" x14ac:dyDescent="0.25">
      <c r="A7175" s="8">
        <v>49221502</v>
      </c>
      <c r="B7175" s="9" t="str">
        <f t="shared" ca="1" si="169"/>
        <v>Porterías</v>
      </c>
      <c r="C7175" s="33" t="s">
        <v>55</v>
      </c>
      <c r="D7175" s="8">
        <v>30</v>
      </c>
      <c r="E7175" s="11">
        <v>1416</v>
      </c>
      <c r="F7175" s="10">
        <f t="shared" ca="1" si="170"/>
        <v>42480</v>
      </c>
    </row>
    <row r="7176" spans="1:6" x14ac:dyDescent="0.25">
      <c r="A7176" s="8">
        <v>49181509</v>
      </c>
      <c r="B7176" s="9" t="str">
        <f t="shared" ca="1" si="169"/>
        <v>Bolas de ping pong</v>
      </c>
      <c r="C7176" s="33" t="s">
        <v>55</v>
      </c>
      <c r="D7176" s="8">
        <v>100</v>
      </c>
      <c r="E7176" s="11">
        <v>94.4</v>
      </c>
      <c r="F7176" s="10">
        <f t="shared" ca="1" si="170"/>
        <v>9440</v>
      </c>
    </row>
    <row r="7177" spans="1:6" x14ac:dyDescent="0.25">
      <c r="A7177" s="8">
        <v>49161603</v>
      </c>
      <c r="B7177" s="9" t="str">
        <f t="shared" ca="1" si="169"/>
        <v>Pelotas de básquetbol</v>
      </c>
      <c r="C7177" s="33" t="s">
        <v>55</v>
      </c>
      <c r="D7177" s="8">
        <v>50</v>
      </c>
      <c r="E7177" s="11">
        <v>2950</v>
      </c>
      <c r="F7177" s="10">
        <f t="shared" ca="1" si="170"/>
        <v>147500</v>
      </c>
    </row>
    <row r="7178" spans="1:6" x14ac:dyDescent="0.25">
      <c r="A7178" s="8">
        <v>49161603</v>
      </c>
      <c r="B7178" s="9" t="str">
        <f t="shared" ca="1" si="169"/>
        <v>Pelotas de básquetbol</v>
      </c>
      <c r="C7178" s="33" t="s">
        <v>55</v>
      </c>
      <c r="D7178" s="8">
        <v>25</v>
      </c>
      <c r="E7178" s="11">
        <v>3304</v>
      </c>
      <c r="F7178" s="10">
        <f t="shared" ca="1" si="170"/>
        <v>82600</v>
      </c>
    </row>
    <row r="7179" spans="1:6" x14ac:dyDescent="0.25">
      <c r="A7179" s="8">
        <v>49161503</v>
      </c>
      <c r="B7179" s="9" t="str">
        <f t="shared" ca="1" si="169"/>
        <v>Pelotas de beisbol</v>
      </c>
      <c r="C7179" s="33" t="s">
        <v>55</v>
      </c>
      <c r="D7179" s="8">
        <v>25</v>
      </c>
      <c r="E7179" s="11">
        <v>295</v>
      </c>
      <c r="F7179" s="10">
        <f t="shared" ca="1" si="170"/>
        <v>7375</v>
      </c>
    </row>
    <row r="7180" spans="1:6" x14ac:dyDescent="0.25">
      <c r="A7180" s="8">
        <v>49221507</v>
      </c>
      <c r="B7180" s="9" t="str">
        <f t="shared" ca="1" si="169"/>
        <v>Tableros de basquetbol</v>
      </c>
      <c r="C7180" s="33" t="s">
        <v>55</v>
      </c>
      <c r="D7180" s="8">
        <v>10</v>
      </c>
      <c r="E7180" s="11">
        <v>41300</v>
      </c>
      <c r="F7180" s="10">
        <f t="shared" ca="1" si="170"/>
        <v>413000</v>
      </c>
    </row>
    <row r="7181" spans="1:6" x14ac:dyDescent="0.25">
      <c r="A7181" s="8">
        <v>49221505</v>
      </c>
      <c r="B7181" s="9" t="str">
        <f t="shared" ca="1" si="169"/>
        <v>Mallas o redes para deportes</v>
      </c>
      <c r="C7181" s="33" t="s">
        <v>55</v>
      </c>
      <c r="D7181" s="8">
        <v>25</v>
      </c>
      <c r="E7181" s="11">
        <v>241.9</v>
      </c>
      <c r="F7181" s="10">
        <f t="shared" ca="1" si="170"/>
        <v>6047.5</v>
      </c>
    </row>
    <row r="7182" spans="1:6" x14ac:dyDescent="0.25">
      <c r="A7182" s="8">
        <v>49161506</v>
      </c>
      <c r="B7182" s="9" t="str">
        <f t="shared" ca="1" si="169"/>
        <v>Bates de beisbol</v>
      </c>
      <c r="C7182" s="33" t="s">
        <v>55</v>
      </c>
      <c r="D7182" s="8">
        <v>25</v>
      </c>
      <c r="E7182" s="11">
        <v>5074</v>
      </c>
      <c r="F7182" s="10">
        <f t="shared" ca="1" si="170"/>
        <v>126850</v>
      </c>
    </row>
    <row r="7183" spans="1:6" x14ac:dyDescent="0.25">
      <c r="A7183" s="8">
        <v>49161520</v>
      </c>
      <c r="B7183" s="9" t="str">
        <f t="shared" ca="1" si="169"/>
        <v>Bates de softbol</v>
      </c>
      <c r="C7183" s="33" t="s">
        <v>55</v>
      </c>
      <c r="D7183" s="8">
        <v>10</v>
      </c>
      <c r="E7183" s="11">
        <v>4277.5</v>
      </c>
      <c r="F7183" s="10">
        <f t="shared" ca="1" si="170"/>
        <v>42775</v>
      </c>
    </row>
    <row r="7184" spans="1:6" x14ac:dyDescent="0.25">
      <c r="A7184" s="8">
        <v>49161608</v>
      </c>
      <c r="B7184" s="9" t="str">
        <f t="shared" ca="1" si="169"/>
        <v>Balones de voleibol</v>
      </c>
      <c r="C7184" s="33" t="s">
        <v>55</v>
      </c>
      <c r="D7184" s="8">
        <v>50</v>
      </c>
      <c r="E7184" s="11">
        <v>1800</v>
      </c>
      <c r="F7184" s="10">
        <f t="shared" ca="1" si="170"/>
        <v>90000</v>
      </c>
    </row>
    <row r="7185" spans="1:6" x14ac:dyDescent="0.25">
      <c r="A7185" s="8">
        <v>49161506</v>
      </c>
      <c r="B7185" s="9" t="str">
        <f t="shared" ca="1" si="169"/>
        <v>Bates de beisbol</v>
      </c>
      <c r="C7185" s="33" t="s">
        <v>55</v>
      </c>
      <c r="D7185" s="8">
        <v>15</v>
      </c>
      <c r="E7185" s="11">
        <v>4074</v>
      </c>
      <c r="F7185" s="10">
        <f t="shared" ca="1" si="170"/>
        <v>61110</v>
      </c>
    </row>
    <row r="7186" spans="1:6" x14ac:dyDescent="0.25">
      <c r="A7186" s="40"/>
      <c r="B7186" s="40"/>
      <c r="C7186" s="40"/>
      <c r="D7186" s="40"/>
      <c r="E7186" s="13" t="s">
        <v>87</v>
      </c>
      <c r="F7186" s="14">
        <f ca="1">SUM(Table3157324[MONTO TOTAL ESTIMADO])</f>
        <v>1662497.5</v>
      </c>
    </row>
    <row r="7187" spans="1:6" ht="15.75" thickBot="1" x14ac:dyDescent="0.3">
      <c r="A7187" s="42"/>
      <c r="B7187" s="42"/>
      <c r="C7187" s="42"/>
      <c r="D7187" s="42"/>
      <c r="E7187" s="42"/>
      <c r="F7187" s="42"/>
    </row>
    <row r="7188" spans="1:6" ht="23.25" thickBot="1" x14ac:dyDescent="0.3">
      <c r="A7188" s="4" t="s">
        <v>19</v>
      </c>
      <c r="B7188" s="4" t="s">
        <v>20</v>
      </c>
      <c r="C7188" s="4" t="s">
        <v>21</v>
      </c>
      <c r="D7188" s="4" t="s">
        <v>22</v>
      </c>
      <c r="E7188" s="4" t="s">
        <v>23</v>
      </c>
      <c r="F7188" s="4" t="s">
        <v>24</v>
      </c>
    </row>
    <row r="7189" spans="1:6" ht="15.75" thickBot="1" x14ac:dyDescent="0.3">
      <c r="A7189" s="32" t="s">
        <v>540</v>
      </c>
      <c r="B7189" s="32" t="s">
        <v>541</v>
      </c>
      <c r="C7189" s="32" t="s">
        <v>129</v>
      </c>
      <c r="D7189" s="6" t="s">
        <v>28</v>
      </c>
      <c r="E7189" s="6" t="s">
        <v>262</v>
      </c>
      <c r="F7189" s="6"/>
    </row>
    <row r="7190" spans="1:6" ht="15.75" thickBot="1" x14ac:dyDescent="0.3">
      <c r="A7190" s="35" t="s">
        <v>31</v>
      </c>
      <c r="B7190" s="7" t="s">
        <v>32</v>
      </c>
      <c r="C7190" s="15">
        <v>45566</v>
      </c>
      <c r="D7190" s="35" t="s">
        <v>33</v>
      </c>
      <c r="E7190" s="7" t="s">
        <v>34</v>
      </c>
      <c r="F7190" s="6"/>
    </row>
    <row r="7191" spans="1:6" ht="15.75" thickBot="1" x14ac:dyDescent="0.3">
      <c r="A7191" s="36"/>
      <c r="B7191" s="7" t="s">
        <v>36</v>
      </c>
      <c r="C7191" s="5">
        <f>IF(C7190="","",IF(AND(MONTH(C7190)&gt;=1,MONTH(C7190)&lt;=3),1,IF(AND(MONTH(C7190)&gt;=4,MONTH(C7190)&lt;=6),2,IF(AND(MONTH(C7190)&gt;=7,MONTH(C7190)&lt;=9),3,4))))</f>
        <v>4</v>
      </c>
      <c r="D7191" s="36"/>
      <c r="E7191" s="7" t="s">
        <v>37</v>
      </c>
      <c r="F7191" s="6"/>
    </row>
    <row r="7192" spans="1:6" ht="15.75" thickBot="1" x14ac:dyDescent="0.3">
      <c r="A7192" s="36"/>
      <c r="B7192" s="7" t="s">
        <v>39</v>
      </c>
      <c r="C7192" s="15">
        <v>45656</v>
      </c>
      <c r="D7192" s="36"/>
      <c r="E7192" s="7" t="s">
        <v>40</v>
      </c>
      <c r="F7192" s="6"/>
    </row>
    <row r="7193" spans="1:6" ht="15.75" thickBot="1" x14ac:dyDescent="0.3">
      <c r="A7193" s="36"/>
      <c r="B7193" s="7" t="s">
        <v>36</v>
      </c>
      <c r="C7193" s="5">
        <f>IF(C7192="","",IF(AND(MONTH(C7192)&gt;=1,MONTH(C7192)&lt;=3),1,IF(AND(MONTH(C7192)&gt;=4,MONTH(C7192)&lt;=6),2,IF(AND(MONTH(C7192)&gt;=7,MONTH(C7192)&lt;=9),3,4))))</f>
        <v>4</v>
      </c>
      <c r="D7193" s="36"/>
      <c r="E7193" s="7" t="s">
        <v>41</v>
      </c>
      <c r="F7193" s="6"/>
    </row>
    <row r="7194" spans="1:6" ht="15.75" thickBot="1" x14ac:dyDescent="0.3">
      <c r="A7194" s="40"/>
      <c r="B7194" s="40"/>
      <c r="C7194" s="40"/>
      <c r="D7194" s="40"/>
      <c r="E7194" s="40"/>
      <c r="F7194" s="40"/>
    </row>
    <row r="7195" spans="1:6" ht="15.75" thickBot="1" x14ac:dyDescent="0.3">
      <c r="A7195" s="12" t="s">
        <v>42</v>
      </c>
      <c r="B7195" s="12" t="s">
        <v>43</v>
      </c>
      <c r="C7195" s="12" t="s">
        <v>44</v>
      </c>
      <c r="D7195" s="12" t="s">
        <v>45</v>
      </c>
      <c r="E7195" s="12" t="s">
        <v>46</v>
      </c>
      <c r="F7195" s="12" t="s">
        <v>47</v>
      </c>
    </row>
    <row r="7196" spans="1:6" x14ac:dyDescent="0.25">
      <c r="A7196" s="8">
        <v>86111604</v>
      </c>
      <c r="B7196" s="9" t="str">
        <f ca="1">IFERROR(INDEX(UNSPSCDes,MATCH(INDIRECT(ADDRESS(ROW(),COLUMN()-1,4)),UNSPSCCode,0)),"")</f>
        <v>Educación para empleados</v>
      </c>
      <c r="C7196" s="33" t="s">
        <v>55</v>
      </c>
      <c r="D7196" s="8">
        <v>1</v>
      </c>
      <c r="E7196" s="11">
        <v>1700000</v>
      </c>
      <c r="F7196" s="10">
        <f ca="1">INDIRECT(ADDRESS(ROW(),COLUMN()-2,4))*INDIRECT(ADDRESS(ROW(),COLUMN()-1,4))</f>
        <v>1700000</v>
      </c>
    </row>
    <row r="7197" spans="1:6" x14ac:dyDescent="0.25">
      <c r="A7197" s="40"/>
      <c r="B7197" s="40"/>
      <c r="C7197" s="40"/>
      <c r="D7197" s="40"/>
      <c r="E7197" s="13" t="s">
        <v>87</v>
      </c>
      <c r="F7197" s="14">
        <f ca="1">SUM(Table3158325[MONTO TOTAL ESTIMADO])</f>
        <v>1700000</v>
      </c>
    </row>
  </sheetData>
  <protectedRanges>
    <protectedRange sqref="E11:E12" name="Rango2"/>
  </protectedRanges>
  <mergeCells count="966">
    <mergeCell ref="A7139:A7142"/>
    <mergeCell ref="D7139:D7142"/>
    <mergeCell ref="A7151:A7154"/>
    <mergeCell ref="D7151:D7154"/>
    <mergeCell ref="A7162:A7165"/>
    <mergeCell ref="D7162:D7165"/>
    <mergeCell ref="A7190:A7193"/>
    <mergeCell ref="D7190:D7193"/>
    <mergeCell ref="A17:A20"/>
    <mergeCell ref="D17:D20"/>
    <mergeCell ref="A7033:A7036"/>
    <mergeCell ref="D7033:D7036"/>
    <mergeCell ref="A7061:A7064"/>
    <mergeCell ref="D7061:D7064"/>
    <mergeCell ref="A7072:A7075"/>
    <mergeCell ref="D7072:D7075"/>
    <mergeCell ref="A7100:A7103"/>
    <mergeCell ref="D7100:D7103"/>
    <mergeCell ref="A7111:A7114"/>
    <mergeCell ref="D7111:D7114"/>
    <mergeCell ref="A6942:A6945"/>
    <mergeCell ref="D6942:D6945"/>
    <mergeCell ref="A6970:A6973"/>
    <mergeCell ref="D6970:D6973"/>
    <mergeCell ref="A6982:A6985"/>
    <mergeCell ref="D6982:D6985"/>
    <mergeCell ref="A7010:A7013"/>
    <mergeCell ref="D7010:D7013"/>
    <mergeCell ref="A7022:A7025"/>
    <mergeCell ref="D7022:D7025"/>
    <mergeCell ref="A6863:A6866"/>
    <mergeCell ref="D6863:D6866"/>
    <mergeCell ref="A6874:A6877"/>
    <mergeCell ref="D6874:D6877"/>
    <mergeCell ref="A6898:A6901"/>
    <mergeCell ref="D6898:D6901"/>
    <mergeCell ref="A6910:A6913"/>
    <mergeCell ref="D6910:D6913"/>
    <mergeCell ref="A6921:A6924"/>
    <mergeCell ref="D6921:D6924"/>
    <mergeCell ref="A6785:A6788"/>
    <mergeCell ref="D6785:D6788"/>
    <mergeCell ref="A6809:A6812"/>
    <mergeCell ref="D6809:D6812"/>
    <mergeCell ref="A6820:A6823"/>
    <mergeCell ref="D6820:D6823"/>
    <mergeCell ref="A6831:A6834"/>
    <mergeCell ref="D6831:D6834"/>
    <mergeCell ref="A6852:A6855"/>
    <mergeCell ref="D6852:D6855"/>
    <mergeCell ref="A6690:A6693"/>
    <mergeCell ref="D6690:D6693"/>
    <mergeCell ref="A6708:A6711"/>
    <mergeCell ref="D6708:D6711"/>
    <mergeCell ref="A6732:A6735"/>
    <mergeCell ref="D6732:D6735"/>
    <mergeCell ref="A6753:A6756"/>
    <mergeCell ref="D6753:D6756"/>
    <mergeCell ref="A6764:A6767"/>
    <mergeCell ref="D6764:D6767"/>
    <mergeCell ref="A6592:A6595"/>
    <mergeCell ref="D6592:D6595"/>
    <mergeCell ref="A6616:A6619"/>
    <mergeCell ref="D6616:D6619"/>
    <mergeCell ref="A6630:A6633"/>
    <mergeCell ref="D6630:D6633"/>
    <mergeCell ref="A6654:A6657"/>
    <mergeCell ref="D6654:D6657"/>
    <mergeCell ref="A6666:A6669"/>
    <mergeCell ref="D6666:D6669"/>
    <mergeCell ref="A6536:A6539"/>
    <mergeCell ref="D6536:D6539"/>
    <mergeCell ref="A6548:A6551"/>
    <mergeCell ref="D6548:D6551"/>
    <mergeCell ref="A6559:A6562"/>
    <mergeCell ref="D6559:D6562"/>
    <mergeCell ref="A6570:A6573"/>
    <mergeCell ref="D6570:D6573"/>
    <mergeCell ref="A6581:A6584"/>
    <mergeCell ref="D6581:D6584"/>
    <mergeCell ref="A6446:A6449"/>
    <mergeCell ref="D6446:D6449"/>
    <mergeCell ref="A6480:A6483"/>
    <mergeCell ref="D6480:D6483"/>
    <mergeCell ref="A6495:A6498"/>
    <mergeCell ref="D6495:D6498"/>
    <mergeCell ref="A6508:A6511"/>
    <mergeCell ref="D6508:D6511"/>
    <mergeCell ref="A6525:A6528"/>
    <mergeCell ref="D6525:D6528"/>
    <mergeCell ref="A6375:A6378"/>
    <mergeCell ref="D6375:D6378"/>
    <mergeCell ref="A6386:A6389"/>
    <mergeCell ref="D6386:D6389"/>
    <mergeCell ref="A6397:A6400"/>
    <mergeCell ref="D6397:D6400"/>
    <mergeCell ref="A6418:A6421"/>
    <mergeCell ref="D6418:D6421"/>
    <mergeCell ref="A6429:A6432"/>
    <mergeCell ref="D6429:D6432"/>
    <mergeCell ref="A6317:A6320"/>
    <mergeCell ref="D6317:D6320"/>
    <mergeCell ref="A6328:A6331"/>
    <mergeCell ref="D6328:D6331"/>
    <mergeCell ref="A6339:A6342"/>
    <mergeCell ref="D6339:D6342"/>
    <mergeCell ref="A6350:A6353"/>
    <mergeCell ref="D6350:D6353"/>
    <mergeCell ref="A6364:A6367"/>
    <mergeCell ref="D6364:D6367"/>
    <mergeCell ref="A6260:A6263"/>
    <mergeCell ref="D6260:D6263"/>
    <mergeCell ref="A6271:A6274"/>
    <mergeCell ref="D6271:D6274"/>
    <mergeCell ref="A6282:A6285"/>
    <mergeCell ref="D6282:D6285"/>
    <mergeCell ref="A6293:A6296"/>
    <mergeCell ref="D6293:D6296"/>
    <mergeCell ref="A6304:A6307"/>
    <mergeCell ref="D6304:D6307"/>
    <mergeCell ref="A6178:A6181"/>
    <mergeCell ref="D6178:D6181"/>
    <mergeCell ref="A6204:A6207"/>
    <mergeCell ref="D6204:D6207"/>
    <mergeCell ref="A6225:A6228"/>
    <mergeCell ref="D6225:D6228"/>
    <mergeCell ref="A6237:A6240"/>
    <mergeCell ref="D6237:D6240"/>
    <mergeCell ref="A6249:A6252"/>
    <mergeCell ref="D6249:D6252"/>
    <mergeCell ref="A6122:A6125"/>
    <mergeCell ref="D6122:D6125"/>
    <mergeCell ref="A6133:A6136"/>
    <mergeCell ref="D6133:D6136"/>
    <mergeCell ref="A6145:A6148"/>
    <mergeCell ref="D6145:D6148"/>
    <mergeCell ref="A6156:A6159"/>
    <mergeCell ref="D6156:D6159"/>
    <mergeCell ref="A6167:A6170"/>
    <mergeCell ref="D6167:D6170"/>
    <mergeCell ref="A6044:A6047"/>
    <mergeCell ref="D6044:D6047"/>
    <mergeCell ref="A6055:A6058"/>
    <mergeCell ref="D6055:D6058"/>
    <mergeCell ref="A6068:A6071"/>
    <mergeCell ref="D6068:D6071"/>
    <mergeCell ref="A6100:A6103"/>
    <mergeCell ref="D6100:D6103"/>
    <mergeCell ref="A6111:A6114"/>
    <mergeCell ref="D6111:D6114"/>
    <mergeCell ref="A5982:A5985"/>
    <mergeCell ref="D5982:D5985"/>
    <mergeCell ref="A5993:A5996"/>
    <mergeCell ref="D5993:D5996"/>
    <mergeCell ref="A6011:A6014"/>
    <mergeCell ref="D6011:D6014"/>
    <mergeCell ref="A6022:A6025"/>
    <mergeCell ref="D6022:D6025"/>
    <mergeCell ref="A6033:A6036"/>
    <mergeCell ref="D6033:D6036"/>
    <mergeCell ref="A5926:A5929"/>
    <mergeCell ref="D5926:D5929"/>
    <mergeCell ref="A5937:A5940"/>
    <mergeCell ref="D5937:D5940"/>
    <mergeCell ref="A5948:A5951"/>
    <mergeCell ref="D5948:D5951"/>
    <mergeCell ref="A5959:A5962"/>
    <mergeCell ref="D5959:D5962"/>
    <mergeCell ref="A5971:A5974"/>
    <mergeCell ref="D5971:D5974"/>
    <mergeCell ref="A5870:A5873"/>
    <mergeCell ref="D5870:D5873"/>
    <mergeCell ref="A5881:A5884"/>
    <mergeCell ref="D5881:D5884"/>
    <mergeCell ref="A5892:A5895"/>
    <mergeCell ref="D5892:D5895"/>
    <mergeCell ref="A5904:A5907"/>
    <mergeCell ref="D5904:D5907"/>
    <mergeCell ref="A5915:A5918"/>
    <mergeCell ref="D5915:D5918"/>
    <mergeCell ref="A5815:A5818"/>
    <mergeCell ref="D5815:D5818"/>
    <mergeCell ref="A5826:A5829"/>
    <mergeCell ref="D5826:D5829"/>
    <mergeCell ref="A5837:A5840"/>
    <mergeCell ref="D5837:D5840"/>
    <mergeCell ref="A5848:A5851"/>
    <mergeCell ref="D5848:D5851"/>
    <mergeCell ref="A5859:A5862"/>
    <mergeCell ref="D5859:D5862"/>
    <mergeCell ref="A5751:A5754"/>
    <mergeCell ref="D5751:D5754"/>
    <mergeCell ref="A5763:A5766"/>
    <mergeCell ref="D5763:D5766"/>
    <mergeCell ref="A5775:A5778"/>
    <mergeCell ref="D5775:D5778"/>
    <mergeCell ref="A5786:A5789"/>
    <mergeCell ref="D5786:D5789"/>
    <mergeCell ref="A5798:A5801"/>
    <mergeCell ref="D5798:D5801"/>
    <mergeCell ref="A5679:A5682"/>
    <mergeCell ref="D5679:D5682"/>
    <mergeCell ref="A5702:A5705"/>
    <mergeCell ref="D5702:D5705"/>
    <mergeCell ref="A5714:A5717"/>
    <mergeCell ref="D5714:D5717"/>
    <mergeCell ref="A5727:A5730"/>
    <mergeCell ref="D5727:D5730"/>
    <mergeCell ref="A5738:A5741"/>
    <mergeCell ref="D5738:D5741"/>
    <mergeCell ref="A5563:A5566"/>
    <mergeCell ref="D5563:D5566"/>
    <mergeCell ref="A5574:A5577"/>
    <mergeCell ref="D5574:D5577"/>
    <mergeCell ref="A5587:A5590"/>
    <mergeCell ref="D5587:D5590"/>
    <mergeCell ref="A5599:A5602"/>
    <mergeCell ref="D5599:D5602"/>
    <mergeCell ref="A5610:A5613"/>
    <mergeCell ref="D5610:D5613"/>
    <mergeCell ref="A5473:A5476"/>
    <mergeCell ref="D5473:D5476"/>
    <mergeCell ref="A5484:A5487"/>
    <mergeCell ref="D5484:D5487"/>
    <mergeCell ref="A5512:A5515"/>
    <mergeCell ref="D5512:D5515"/>
    <mergeCell ref="A5524:A5527"/>
    <mergeCell ref="D5524:D5527"/>
    <mergeCell ref="A5535:A5538"/>
    <mergeCell ref="D5535:D5538"/>
    <mergeCell ref="A5383:A5386"/>
    <mergeCell ref="D5383:D5386"/>
    <mergeCell ref="A5395:A5398"/>
    <mergeCell ref="D5395:D5398"/>
    <mergeCell ref="A5406:A5409"/>
    <mergeCell ref="D5406:D5409"/>
    <mergeCell ref="A5434:A5437"/>
    <mergeCell ref="D5434:D5437"/>
    <mergeCell ref="A5445:A5448"/>
    <mergeCell ref="D5445:D5448"/>
    <mergeCell ref="A5283:A5286"/>
    <mergeCell ref="D5283:D5286"/>
    <mergeCell ref="A5294:A5297"/>
    <mergeCell ref="D5294:D5297"/>
    <mergeCell ref="A5315:A5318"/>
    <mergeCell ref="D5315:D5318"/>
    <mergeCell ref="A5343:A5346"/>
    <mergeCell ref="D5343:D5346"/>
    <mergeCell ref="A5355:A5358"/>
    <mergeCell ref="D5355:D5358"/>
    <mergeCell ref="A5204:A5207"/>
    <mergeCell ref="D5204:D5207"/>
    <mergeCell ref="A5225:A5228"/>
    <mergeCell ref="D5225:D5228"/>
    <mergeCell ref="A5236:A5239"/>
    <mergeCell ref="D5236:D5239"/>
    <mergeCell ref="A5247:A5250"/>
    <mergeCell ref="D5247:D5250"/>
    <mergeCell ref="A5271:A5274"/>
    <mergeCell ref="D5271:D5274"/>
    <mergeCell ref="A5126:A5129"/>
    <mergeCell ref="D5126:D5129"/>
    <mergeCell ref="A5137:A5140"/>
    <mergeCell ref="D5137:D5140"/>
    <mergeCell ref="A5158:A5161"/>
    <mergeCell ref="D5158:D5161"/>
    <mergeCell ref="A5182:A5185"/>
    <mergeCell ref="D5182:D5185"/>
    <mergeCell ref="A5193:A5196"/>
    <mergeCell ref="D5193:D5196"/>
    <mergeCell ref="A5027:A5030"/>
    <mergeCell ref="D5027:D5030"/>
    <mergeCell ref="A5039:A5042"/>
    <mergeCell ref="D5039:D5042"/>
    <mergeCell ref="A5063:A5066"/>
    <mergeCell ref="D5063:D5066"/>
    <mergeCell ref="A5081:A5084"/>
    <mergeCell ref="D5081:D5084"/>
    <mergeCell ref="A5105:A5108"/>
    <mergeCell ref="D5105:D5108"/>
    <mergeCell ref="A4943:A4946"/>
    <mergeCell ref="D4943:D4946"/>
    <mergeCell ref="A4954:A4957"/>
    <mergeCell ref="D4954:D4957"/>
    <mergeCell ref="A4965:A4968"/>
    <mergeCell ref="D4965:D4968"/>
    <mergeCell ref="A4989:A4992"/>
    <mergeCell ref="D4989:D4992"/>
    <mergeCell ref="A5003:A5006"/>
    <mergeCell ref="D5003:D5006"/>
    <mergeCell ref="A4881:A4884"/>
    <mergeCell ref="D4881:D4884"/>
    <mergeCell ref="A4898:A4901"/>
    <mergeCell ref="D4898:D4901"/>
    <mergeCell ref="A4909:A4912"/>
    <mergeCell ref="D4909:D4912"/>
    <mergeCell ref="A4921:A4924"/>
    <mergeCell ref="D4921:D4924"/>
    <mergeCell ref="A4932:A4935"/>
    <mergeCell ref="D4932:D4935"/>
    <mergeCell ref="A4791:A4794"/>
    <mergeCell ref="D4791:D4794"/>
    <mergeCell ref="A4802:A4805"/>
    <mergeCell ref="D4802:D4805"/>
    <mergeCell ref="A4819:A4822"/>
    <mergeCell ref="D4819:D4822"/>
    <mergeCell ref="A4853:A4856"/>
    <mergeCell ref="D4853:D4856"/>
    <mergeCell ref="A4868:A4871"/>
    <mergeCell ref="D4868:D4871"/>
    <mergeCell ref="A4723:A4726"/>
    <mergeCell ref="D4723:D4726"/>
    <mergeCell ref="A4737:A4740"/>
    <mergeCell ref="D4737:D4740"/>
    <mergeCell ref="A4748:A4751"/>
    <mergeCell ref="D4748:D4751"/>
    <mergeCell ref="A4759:A4762"/>
    <mergeCell ref="D4759:D4762"/>
    <mergeCell ref="A4770:A4773"/>
    <mergeCell ref="D4770:D4773"/>
    <mergeCell ref="A4666:A4669"/>
    <mergeCell ref="D4666:D4669"/>
    <mergeCell ref="A4677:A4680"/>
    <mergeCell ref="D4677:D4680"/>
    <mergeCell ref="A4690:A4693"/>
    <mergeCell ref="D4690:D4693"/>
    <mergeCell ref="A4701:A4704"/>
    <mergeCell ref="D4701:D4704"/>
    <mergeCell ref="A4712:A4715"/>
    <mergeCell ref="D4712:D4715"/>
    <mergeCell ref="A4610:A4613"/>
    <mergeCell ref="D4610:D4613"/>
    <mergeCell ref="A4622:A4625"/>
    <mergeCell ref="D4622:D4625"/>
    <mergeCell ref="A4633:A4636"/>
    <mergeCell ref="D4633:D4636"/>
    <mergeCell ref="A4644:A4647"/>
    <mergeCell ref="D4644:D4647"/>
    <mergeCell ref="A4655:A4658"/>
    <mergeCell ref="D4655:D4658"/>
    <mergeCell ref="A4529:A4532"/>
    <mergeCell ref="D4529:D4532"/>
    <mergeCell ref="A4540:A4543"/>
    <mergeCell ref="D4540:D4543"/>
    <mergeCell ref="A4551:A4554"/>
    <mergeCell ref="D4551:D4554"/>
    <mergeCell ref="A4577:A4580"/>
    <mergeCell ref="D4577:D4580"/>
    <mergeCell ref="A4598:A4601"/>
    <mergeCell ref="D4598:D4601"/>
    <mergeCell ref="A4473:A4476"/>
    <mergeCell ref="D4473:D4476"/>
    <mergeCell ref="A4484:A4487"/>
    <mergeCell ref="D4484:D4487"/>
    <mergeCell ref="A4495:A4498"/>
    <mergeCell ref="D4495:D4498"/>
    <mergeCell ref="A4506:A4509"/>
    <mergeCell ref="D4506:D4509"/>
    <mergeCell ref="A4518:A4521"/>
    <mergeCell ref="D4518:D4521"/>
    <mergeCell ref="A4395:A4398"/>
    <mergeCell ref="D4395:D4398"/>
    <mergeCell ref="A4406:A4409"/>
    <mergeCell ref="D4406:D4409"/>
    <mergeCell ref="A4417:A4420"/>
    <mergeCell ref="D4417:D4420"/>
    <mergeCell ref="A4428:A4431"/>
    <mergeCell ref="D4428:D4431"/>
    <mergeCell ref="A4441:A4444"/>
    <mergeCell ref="D4441:D4444"/>
    <mergeCell ref="A4332:A4335"/>
    <mergeCell ref="D4332:D4335"/>
    <mergeCell ref="A4344:A4347"/>
    <mergeCell ref="D4344:D4347"/>
    <mergeCell ref="A4355:A4358"/>
    <mergeCell ref="D4355:D4358"/>
    <mergeCell ref="A4366:A4369"/>
    <mergeCell ref="D4366:D4369"/>
    <mergeCell ref="A4384:A4387"/>
    <mergeCell ref="D4384:D4387"/>
    <mergeCell ref="A4277:A4280"/>
    <mergeCell ref="D4277:D4280"/>
    <mergeCell ref="A4288:A4291"/>
    <mergeCell ref="D4288:D4291"/>
    <mergeCell ref="A4299:A4302"/>
    <mergeCell ref="D4299:D4302"/>
    <mergeCell ref="A4310:A4313"/>
    <mergeCell ref="D4310:D4313"/>
    <mergeCell ref="A4321:A4324"/>
    <mergeCell ref="D4321:D4324"/>
    <mergeCell ref="A4221:A4224"/>
    <mergeCell ref="D4221:D4224"/>
    <mergeCell ref="A4232:A4235"/>
    <mergeCell ref="D4232:D4235"/>
    <mergeCell ref="A4243:A4246"/>
    <mergeCell ref="D4243:D4246"/>
    <mergeCell ref="A4254:A4257"/>
    <mergeCell ref="D4254:D4257"/>
    <mergeCell ref="A4265:A4268"/>
    <mergeCell ref="D4265:D4268"/>
    <mergeCell ref="A4159:A4162"/>
    <mergeCell ref="D4159:D4162"/>
    <mergeCell ref="A4171:A4174"/>
    <mergeCell ref="D4171:D4174"/>
    <mergeCell ref="A4188:A4191"/>
    <mergeCell ref="D4188:D4191"/>
    <mergeCell ref="A4199:A4202"/>
    <mergeCell ref="D4199:D4202"/>
    <mergeCell ref="A4210:A4213"/>
    <mergeCell ref="D4210:D4213"/>
    <mergeCell ref="A4100:A4103"/>
    <mergeCell ref="D4100:D4103"/>
    <mergeCell ref="A4111:A4114"/>
    <mergeCell ref="D4111:D4114"/>
    <mergeCell ref="A4124:A4127"/>
    <mergeCell ref="D4124:D4127"/>
    <mergeCell ref="A4136:A4139"/>
    <mergeCell ref="D4136:D4139"/>
    <mergeCell ref="A4148:A4151"/>
    <mergeCell ref="D4148:D4151"/>
    <mergeCell ref="A3972:A3975"/>
    <mergeCell ref="D3972:D3975"/>
    <mergeCell ref="A3983:A3986"/>
    <mergeCell ref="D3983:D3986"/>
    <mergeCell ref="A4052:A4055"/>
    <mergeCell ref="D4052:D4055"/>
    <mergeCell ref="A4075:A4078"/>
    <mergeCell ref="D4075:D4078"/>
    <mergeCell ref="A4087:A4090"/>
    <mergeCell ref="D4087:D4090"/>
    <mergeCell ref="A3897:A3900"/>
    <mergeCell ref="D3897:D3900"/>
    <mergeCell ref="A3908:A3911"/>
    <mergeCell ref="D3908:D3911"/>
    <mergeCell ref="A3936:A3939"/>
    <mergeCell ref="D3936:D3939"/>
    <mergeCell ref="A3947:A3950"/>
    <mergeCell ref="D3947:D3950"/>
    <mergeCell ref="A3960:A3963"/>
    <mergeCell ref="D3960:D3963"/>
    <mergeCell ref="A3807:A3810"/>
    <mergeCell ref="D3807:D3810"/>
    <mergeCell ref="A3818:A3821"/>
    <mergeCell ref="D3818:D3821"/>
    <mergeCell ref="A3846:A3849"/>
    <mergeCell ref="D3846:D3849"/>
    <mergeCell ref="A3857:A3860"/>
    <mergeCell ref="D3857:D3860"/>
    <mergeCell ref="A3885:A3888"/>
    <mergeCell ref="D3885:D3888"/>
    <mergeCell ref="A3716:A3719"/>
    <mergeCell ref="D3716:D3719"/>
    <mergeCell ref="A3728:A3731"/>
    <mergeCell ref="D3728:D3731"/>
    <mergeCell ref="A3756:A3759"/>
    <mergeCell ref="D3756:D3759"/>
    <mergeCell ref="A3768:A3771"/>
    <mergeCell ref="D3768:D3771"/>
    <mergeCell ref="A3779:A3782"/>
    <mergeCell ref="D3779:D3782"/>
    <mergeCell ref="A3620:A3623"/>
    <mergeCell ref="D3620:D3623"/>
    <mergeCell ref="A3644:A3647"/>
    <mergeCell ref="D3644:D3647"/>
    <mergeCell ref="A3656:A3659"/>
    <mergeCell ref="D3656:D3659"/>
    <mergeCell ref="A3667:A3670"/>
    <mergeCell ref="D3667:D3670"/>
    <mergeCell ref="A3688:A3691"/>
    <mergeCell ref="D3688:D3691"/>
    <mergeCell ref="A3555:A3558"/>
    <mergeCell ref="D3555:D3558"/>
    <mergeCell ref="A3566:A3569"/>
    <mergeCell ref="D3566:D3569"/>
    <mergeCell ref="A3577:A3580"/>
    <mergeCell ref="D3577:D3580"/>
    <mergeCell ref="A3598:A3601"/>
    <mergeCell ref="D3598:D3601"/>
    <mergeCell ref="A3609:A3612"/>
    <mergeCell ref="D3609:D3612"/>
    <mergeCell ref="A3454:A3457"/>
    <mergeCell ref="D3454:D3457"/>
    <mergeCell ref="A3478:A3481"/>
    <mergeCell ref="D3478:D3481"/>
    <mergeCell ref="A3499:A3502"/>
    <mergeCell ref="D3499:D3502"/>
    <mergeCell ref="A3510:A3513"/>
    <mergeCell ref="D3510:D3513"/>
    <mergeCell ref="A3531:A3534"/>
    <mergeCell ref="D3531:D3534"/>
    <mergeCell ref="A3362:A3365"/>
    <mergeCell ref="D3362:D3365"/>
    <mergeCell ref="A3376:A3379"/>
    <mergeCell ref="D3376:D3379"/>
    <mergeCell ref="A3400:A3403"/>
    <mergeCell ref="D3400:D3403"/>
    <mergeCell ref="A3412:A3415"/>
    <mergeCell ref="D3412:D3415"/>
    <mergeCell ref="A3436:A3439"/>
    <mergeCell ref="D3436:D3439"/>
    <mergeCell ref="A3294:A3297"/>
    <mergeCell ref="D3294:D3297"/>
    <mergeCell ref="A3305:A3308"/>
    <mergeCell ref="D3305:D3308"/>
    <mergeCell ref="A3316:A3319"/>
    <mergeCell ref="D3316:D3319"/>
    <mergeCell ref="A3327:A3330"/>
    <mergeCell ref="D3327:D3330"/>
    <mergeCell ref="A3338:A3341"/>
    <mergeCell ref="D3338:D3341"/>
    <mergeCell ref="A3226:A3229"/>
    <mergeCell ref="D3226:D3229"/>
    <mergeCell ref="A3241:A3244"/>
    <mergeCell ref="D3241:D3244"/>
    <mergeCell ref="A3254:A3257"/>
    <mergeCell ref="D3254:D3257"/>
    <mergeCell ref="A3271:A3274"/>
    <mergeCell ref="D3271:D3274"/>
    <mergeCell ref="A3282:A3285"/>
    <mergeCell ref="D3282:D3285"/>
    <mergeCell ref="A3132:A3135"/>
    <mergeCell ref="D3132:D3135"/>
    <mergeCell ref="A3143:A3146"/>
    <mergeCell ref="D3143:D3146"/>
    <mergeCell ref="A3164:A3167"/>
    <mergeCell ref="D3164:D3167"/>
    <mergeCell ref="A3175:A3178"/>
    <mergeCell ref="D3175:D3178"/>
    <mergeCell ref="A3192:A3195"/>
    <mergeCell ref="D3192:D3195"/>
    <mergeCell ref="A3074:A3077"/>
    <mergeCell ref="D3074:D3077"/>
    <mergeCell ref="A3085:A3088"/>
    <mergeCell ref="D3085:D3088"/>
    <mergeCell ref="A3096:A3099"/>
    <mergeCell ref="D3096:D3099"/>
    <mergeCell ref="A3110:A3113"/>
    <mergeCell ref="D3110:D3113"/>
    <mergeCell ref="A3121:A3124"/>
    <mergeCell ref="D3121:D3124"/>
    <mergeCell ref="A3017:A3020"/>
    <mergeCell ref="D3017:D3020"/>
    <mergeCell ref="A3028:A3031"/>
    <mergeCell ref="D3028:D3031"/>
    <mergeCell ref="A3039:A3042"/>
    <mergeCell ref="D3039:D3042"/>
    <mergeCell ref="A3050:A3053"/>
    <mergeCell ref="D3050:D3053"/>
    <mergeCell ref="A3063:A3066"/>
    <mergeCell ref="D3063:D3066"/>
    <mergeCell ref="A2950:A2953"/>
    <mergeCell ref="D2950:D2953"/>
    <mergeCell ref="A2971:A2974"/>
    <mergeCell ref="D2971:D2974"/>
    <mergeCell ref="A2983:A2986"/>
    <mergeCell ref="D2983:D2986"/>
    <mergeCell ref="A2995:A2998"/>
    <mergeCell ref="D2995:D2998"/>
    <mergeCell ref="A3006:A3009"/>
    <mergeCell ref="D3006:D3009"/>
    <mergeCell ref="A2879:A2882"/>
    <mergeCell ref="D2879:D2882"/>
    <mergeCell ref="A2891:A2894"/>
    <mergeCell ref="D2891:D2894"/>
    <mergeCell ref="A2902:A2905"/>
    <mergeCell ref="D2902:D2905"/>
    <mergeCell ref="A2913:A2916"/>
    <mergeCell ref="D2913:D2916"/>
    <mergeCell ref="A2924:A2927"/>
    <mergeCell ref="D2924:D2927"/>
    <mergeCell ref="A2801:A2804"/>
    <mergeCell ref="D2801:D2804"/>
    <mergeCell ref="A2814:A2817"/>
    <mergeCell ref="D2814:D2817"/>
    <mergeCell ref="A2846:A2849"/>
    <mergeCell ref="D2846:D2849"/>
    <mergeCell ref="A2857:A2860"/>
    <mergeCell ref="D2857:D2860"/>
    <mergeCell ref="A2868:A2871"/>
    <mergeCell ref="D2868:D2871"/>
    <mergeCell ref="A2739:A2742"/>
    <mergeCell ref="D2739:D2742"/>
    <mergeCell ref="A2757:A2760"/>
    <mergeCell ref="D2757:D2760"/>
    <mergeCell ref="A2768:A2771"/>
    <mergeCell ref="D2768:D2771"/>
    <mergeCell ref="A2779:A2782"/>
    <mergeCell ref="D2779:D2782"/>
    <mergeCell ref="A2790:A2793"/>
    <mergeCell ref="D2790:D2793"/>
    <mergeCell ref="A2683:A2686"/>
    <mergeCell ref="D2683:D2686"/>
    <mergeCell ref="A2694:A2697"/>
    <mergeCell ref="D2694:D2697"/>
    <mergeCell ref="A2705:A2708"/>
    <mergeCell ref="D2705:D2708"/>
    <mergeCell ref="A2717:A2720"/>
    <mergeCell ref="D2717:D2720"/>
    <mergeCell ref="A2728:A2731"/>
    <mergeCell ref="D2728:D2731"/>
    <mergeCell ref="A2627:A2630"/>
    <mergeCell ref="D2627:D2630"/>
    <mergeCell ref="A2638:A2641"/>
    <mergeCell ref="D2638:D2641"/>
    <mergeCell ref="A2650:A2653"/>
    <mergeCell ref="D2650:D2653"/>
    <mergeCell ref="A2661:A2664"/>
    <mergeCell ref="D2661:D2664"/>
    <mergeCell ref="A2672:A2675"/>
    <mergeCell ref="D2672:D2675"/>
    <mergeCell ref="A2572:A2575"/>
    <mergeCell ref="D2572:D2575"/>
    <mergeCell ref="A2583:A2586"/>
    <mergeCell ref="D2583:D2586"/>
    <mergeCell ref="A2594:A2597"/>
    <mergeCell ref="D2594:D2597"/>
    <mergeCell ref="A2605:A2608"/>
    <mergeCell ref="D2605:D2608"/>
    <mergeCell ref="A2616:A2619"/>
    <mergeCell ref="D2616:D2619"/>
    <mergeCell ref="A2509:A2512"/>
    <mergeCell ref="D2509:D2512"/>
    <mergeCell ref="A2521:A2524"/>
    <mergeCell ref="D2521:D2524"/>
    <mergeCell ref="A2532:A2535"/>
    <mergeCell ref="D2532:D2535"/>
    <mergeCell ref="A2544:A2547"/>
    <mergeCell ref="D2544:D2547"/>
    <mergeCell ref="A2561:A2564"/>
    <mergeCell ref="D2561:D2564"/>
    <mergeCell ref="A2448:A2451"/>
    <mergeCell ref="D2448:D2451"/>
    <mergeCell ref="A2460:A2463"/>
    <mergeCell ref="D2460:D2463"/>
    <mergeCell ref="A2473:A2476"/>
    <mergeCell ref="D2473:D2476"/>
    <mergeCell ref="A2484:A2487"/>
    <mergeCell ref="D2484:D2487"/>
    <mergeCell ref="A2497:A2500"/>
    <mergeCell ref="D2497:D2500"/>
    <mergeCell ref="A2320:A2323"/>
    <mergeCell ref="D2320:D2323"/>
    <mergeCell ref="A2333:A2336"/>
    <mergeCell ref="D2333:D2336"/>
    <mergeCell ref="A2345:A2348"/>
    <mergeCell ref="D2345:D2348"/>
    <mergeCell ref="A2356:A2359"/>
    <mergeCell ref="D2356:D2359"/>
    <mergeCell ref="A2425:A2428"/>
    <mergeCell ref="D2425:D2428"/>
    <mergeCell ref="A2270:A2273"/>
    <mergeCell ref="D2270:D2273"/>
    <mergeCell ref="A2281:A2284"/>
    <mergeCell ref="D2281:D2284"/>
    <mergeCell ref="A2309:A2312"/>
    <mergeCell ref="D2309:D2312"/>
    <mergeCell ref="A2180:A2183"/>
    <mergeCell ref="D2180:D2183"/>
    <mergeCell ref="A2191:A2194"/>
    <mergeCell ref="D2191:D2194"/>
    <mergeCell ref="A2219:A2222"/>
    <mergeCell ref="D2219:D2222"/>
    <mergeCell ref="A2230:A2233"/>
    <mergeCell ref="D2230:D2233"/>
    <mergeCell ref="A2258:A2261"/>
    <mergeCell ref="D2258:D2261"/>
    <mergeCell ref="A2089:A2092"/>
    <mergeCell ref="D2089:D2092"/>
    <mergeCell ref="A2101:A2104"/>
    <mergeCell ref="D2101:D2104"/>
    <mergeCell ref="A2129:A2132"/>
    <mergeCell ref="D2129:D2132"/>
    <mergeCell ref="A2141:A2144"/>
    <mergeCell ref="D2141:D2144"/>
    <mergeCell ref="A2152:A2155"/>
    <mergeCell ref="D2152:D2155"/>
    <mergeCell ref="A2017:A2020"/>
    <mergeCell ref="D2017:D2020"/>
    <mergeCell ref="A2029:A2032"/>
    <mergeCell ref="D2029:D2032"/>
    <mergeCell ref="A2040:A2043"/>
    <mergeCell ref="D2040:D2043"/>
    <mergeCell ref="A2061:A2064"/>
    <mergeCell ref="D2061:D2064"/>
    <mergeCell ref="A1939:A1942"/>
    <mergeCell ref="D1939:D1942"/>
    <mergeCell ref="A1950:A1953"/>
    <mergeCell ref="D1950:D1953"/>
    <mergeCell ref="A1971:A1974"/>
    <mergeCell ref="D1971:D1974"/>
    <mergeCell ref="A1982:A1985"/>
    <mergeCell ref="D1982:D1985"/>
    <mergeCell ref="A1993:A1996"/>
    <mergeCell ref="D1993:D1996"/>
    <mergeCell ref="A1851:A1854"/>
    <mergeCell ref="D1851:D1854"/>
    <mergeCell ref="A1872:A1875"/>
    <mergeCell ref="D1872:D1875"/>
    <mergeCell ref="A1883:A1886"/>
    <mergeCell ref="D1883:D1886"/>
    <mergeCell ref="A1904:A1907"/>
    <mergeCell ref="D1904:D1907"/>
    <mergeCell ref="A1928:A1931"/>
    <mergeCell ref="D1928:D1931"/>
    <mergeCell ref="A1749:A1752"/>
    <mergeCell ref="D1749:D1752"/>
    <mergeCell ref="A1773:A1776"/>
    <mergeCell ref="D1773:D1776"/>
    <mergeCell ref="A1785:A1788"/>
    <mergeCell ref="D1785:D1788"/>
    <mergeCell ref="A1809:A1812"/>
    <mergeCell ref="D1809:D1812"/>
    <mergeCell ref="A1827:A1830"/>
    <mergeCell ref="D1827:D1830"/>
    <mergeCell ref="A1700:A1703"/>
    <mergeCell ref="D1700:D1703"/>
    <mergeCell ref="A1711:A1714"/>
    <mergeCell ref="D1711:D1714"/>
    <mergeCell ref="A1735:A1738"/>
    <mergeCell ref="D1735:D1738"/>
    <mergeCell ref="A1644:A1647"/>
    <mergeCell ref="D1644:D1647"/>
    <mergeCell ref="A1655:A1658"/>
    <mergeCell ref="D1655:D1658"/>
    <mergeCell ref="A1667:A1670"/>
    <mergeCell ref="D1667:D1670"/>
    <mergeCell ref="A1678:A1681"/>
    <mergeCell ref="D1678:D1681"/>
    <mergeCell ref="A1689:A1692"/>
    <mergeCell ref="D1689:D1692"/>
    <mergeCell ref="A1548:A1551"/>
    <mergeCell ref="D1548:D1551"/>
    <mergeCell ref="A1565:A1568"/>
    <mergeCell ref="D1565:D1568"/>
    <mergeCell ref="A1599:A1602"/>
    <mergeCell ref="D1599:D1602"/>
    <mergeCell ref="A1614:A1617"/>
    <mergeCell ref="D1614:D1617"/>
    <mergeCell ref="A1627:A1630"/>
    <mergeCell ref="D1627:D1630"/>
    <mergeCell ref="A1483:A1486"/>
    <mergeCell ref="D1483:D1486"/>
    <mergeCell ref="A1494:A1497"/>
    <mergeCell ref="D1494:D1497"/>
    <mergeCell ref="A1505:A1508"/>
    <mergeCell ref="D1505:D1508"/>
    <mergeCell ref="A1516:A1519"/>
    <mergeCell ref="D1516:D1519"/>
    <mergeCell ref="A1537:A1540"/>
    <mergeCell ref="D1537:D1540"/>
    <mergeCell ref="A1423:A1426"/>
    <mergeCell ref="D1423:D1426"/>
    <mergeCell ref="A1436:A1439"/>
    <mergeCell ref="D1436:D1439"/>
    <mergeCell ref="A1447:A1450"/>
    <mergeCell ref="D1447:D1450"/>
    <mergeCell ref="A1458:A1461"/>
    <mergeCell ref="D1458:D1461"/>
    <mergeCell ref="A1469:A1472"/>
    <mergeCell ref="D1469:D1472"/>
    <mergeCell ref="A1368:A1371"/>
    <mergeCell ref="D1368:D1371"/>
    <mergeCell ref="A1379:A1382"/>
    <mergeCell ref="D1379:D1382"/>
    <mergeCell ref="A1390:A1393"/>
    <mergeCell ref="D1390:D1393"/>
    <mergeCell ref="A1401:A1404"/>
    <mergeCell ref="D1401:D1404"/>
    <mergeCell ref="A1412:A1415"/>
    <mergeCell ref="D1412:D1415"/>
    <mergeCell ref="A1286:A1289"/>
    <mergeCell ref="D1286:D1289"/>
    <mergeCell ref="A1297:A1300"/>
    <mergeCell ref="D1297:D1300"/>
    <mergeCell ref="A1323:A1326"/>
    <mergeCell ref="D1323:D1326"/>
    <mergeCell ref="A1344:A1347"/>
    <mergeCell ref="D1344:D1347"/>
    <mergeCell ref="A1356:A1359"/>
    <mergeCell ref="D1356:D1359"/>
    <mergeCell ref="A1230:A1233"/>
    <mergeCell ref="D1230:D1233"/>
    <mergeCell ref="A1241:A1244"/>
    <mergeCell ref="D1241:D1244"/>
    <mergeCell ref="A1252:A1255"/>
    <mergeCell ref="D1252:D1255"/>
    <mergeCell ref="A1264:A1267"/>
    <mergeCell ref="D1264:D1267"/>
    <mergeCell ref="A1275:A1278"/>
    <mergeCell ref="D1275:D1278"/>
    <mergeCell ref="A1152:A1155"/>
    <mergeCell ref="D1152:D1155"/>
    <mergeCell ref="A1163:A1166"/>
    <mergeCell ref="D1163:D1166"/>
    <mergeCell ref="A1174:A1177"/>
    <mergeCell ref="D1174:D1177"/>
    <mergeCell ref="A1187:A1190"/>
    <mergeCell ref="D1187:D1190"/>
    <mergeCell ref="A1219:A1222"/>
    <mergeCell ref="D1219:D1222"/>
    <mergeCell ref="A1090:A1093"/>
    <mergeCell ref="D1090:D1093"/>
    <mergeCell ref="A1101:A1104"/>
    <mergeCell ref="D1101:D1104"/>
    <mergeCell ref="A1112:A1115"/>
    <mergeCell ref="D1112:D1115"/>
    <mergeCell ref="A1130:A1133"/>
    <mergeCell ref="D1130:D1133"/>
    <mergeCell ref="A1141:A1144"/>
    <mergeCell ref="D1141:D1144"/>
    <mergeCell ref="A1034:A1037"/>
    <mergeCell ref="D1034:D1037"/>
    <mergeCell ref="A1045:A1048"/>
    <mergeCell ref="D1045:D1048"/>
    <mergeCell ref="A1056:A1059"/>
    <mergeCell ref="D1056:D1059"/>
    <mergeCell ref="A1067:A1070"/>
    <mergeCell ref="D1067:D1070"/>
    <mergeCell ref="A1078:A1081"/>
    <mergeCell ref="D1078:D1081"/>
    <mergeCell ref="A978:A981"/>
    <mergeCell ref="D978:D981"/>
    <mergeCell ref="A989:A992"/>
    <mergeCell ref="D989:D992"/>
    <mergeCell ref="A1000:A1003"/>
    <mergeCell ref="D1000:D1003"/>
    <mergeCell ref="A1011:A1014"/>
    <mergeCell ref="D1011:D1014"/>
    <mergeCell ref="A1023:A1026"/>
    <mergeCell ref="D1023:D1026"/>
    <mergeCell ref="A917:A920"/>
    <mergeCell ref="D917:D920"/>
    <mergeCell ref="A934:A937"/>
    <mergeCell ref="D934:D937"/>
    <mergeCell ref="A945:A948"/>
    <mergeCell ref="D945:D948"/>
    <mergeCell ref="A956:A959"/>
    <mergeCell ref="D956:D959"/>
    <mergeCell ref="A967:A970"/>
    <mergeCell ref="D967:D970"/>
    <mergeCell ref="A857:A860"/>
    <mergeCell ref="D857:D860"/>
    <mergeCell ref="A870:A873"/>
    <mergeCell ref="D870:D873"/>
    <mergeCell ref="A882:A885"/>
    <mergeCell ref="D882:D885"/>
    <mergeCell ref="A894:A897"/>
    <mergeCell ref="D894:D897"/>
    <mergeCell ref="A905:A908"/>
    <mergeCell ref="D905:D908"/>
    <mergeCell ref="E12:F12"/>
    <mergeCell ref="A798:A801"/>
    <mergeCell ref="D798:D801"/>
    <mergeCell ref="A821:A824"/>
    <mergeCell ref="D821:D824"/>
    <mergeCell ref="A833:A836"/>
    <mergeCell ref="D833:D836"/>
    <mergeCell ref="A846:A849"/>
    <mergeCell ref="D846:D849"/>
    <mergeCell ref="A101:A104"/>
    <mergeCell ref="D101:D104"/>
    <mergeCell ref="A131:A134"/>
    <mergeCell ref="D131:D134"/>
    <mergeCell ref="A145:A148"/>
    <mergeCell ref="D145:D148"/>
    <mergeCell ref="A28:A31"/>
    <mergeCell ref="D28:D31"/>
    <mergeCell ref="A76:A79"/>
    <mergeCell ref="D76:D79"/>
    <mergeCell ref="A89:A92"/>
    <mergeCell ref="D89:D92"/>
    <mergeCell ref="A195:A198"/>
    <mergeCell ref="D195:D198"/>
    <mergeCell ref="A206:A209"/>
    <mergeCell ref="A1:A4"/>
    <mergeCell ref="E6:F6"/>
    <mergeCell ref="E7:F7"/>
    <mergeCell ref="B2:E2"/>
    <mergeCell ref="B3:E3"/>
    <mergeCell ref="E9:F9"/>
    <mergeCell ref="E8:F8"/>
    <mergeCell ref="E10:F10"/>
    <mergeCell ref="E11:F11"/>
    <mergeCell ref="D206:D209"/>
    <mergeCell ref="A218:A221"/>
    <mergeCell ref="D218:D221"/>
    <mergeCell ref="A160:A163"/>
    <mergeCell ref="D160:D163"/>
    <mergeCell ref="A172:A175"/>
    <mergeCell ref="D172:D175"/>
    <mergeCell ref="A184:A187"/>
    <mergeCell ref="D184:D187"/>
    <mergeCell ref="A267:A270"/>
    <mergeCell ref="D267:D270"/>
    <mergeCell ref="A288:A291"/>
    <mergeCell ref="D288:D291"/>
    <mergeCell ref="A303:A306"/>
    <mergeCell ref="D303:D306"/>
    <mergeCell ref="A231:A234"/>
    <mergeCell ref="D231:D234"/>
    <mergeCell ref="A242:A245"/>
    <mergeCell ref="D242:D245"/>
    <mergeCell ref="A256:A259"/>
    <mergeCell ref="D256:D259"/>
    <mergeCell ref="A364:A367"/>
    <mergeCell ref="D364:D367"/>
    <mergeCell ref="A397:A400"/>
    <mergeCell ref="D397:D400"/>
    <mergeCell ref="A408:A411"/>
    <mergeCell ref="D408:D411"/>
    <mergeCell ref="A315:A318"/>
    <mergeCell ref="D315:D318"/>
    <mergeCell ref="A326:A329"/>
    <mergeCell ref="D326:D329"/>
    <mergeCell ref="A352:A355"/>
    <mergeCell ref="D352:D355"/>
    <mergeCell ref="A456:A459"/>
    <mergeCell ref="D456:D459"/>
    <mergeCell ref="A472:A475"/>
    <mergeCell ref="D472:D475"/>
    <mergeCell ref="A483:A486"/>
    <mergeCell ref="D483:D486"/>
    <mergeCell ref="A422:A425"/>
    <mergeCell ref="D422:D425"/>
    <mergeCell ref="A433:A436"/>
    <mergeCell ref="D433:D436"/>
    <mergeCell ref="A445:A448"/>
    <mergeCell ref="D445:D448"/>
    <mergeCell ref="A545:A548"/>
    <mergeCell ref="D545:D548"/>
    <mergeCell ref="A559:A562"/>
    <mergeCell ref="D559:D562"/>
    <mergeCell ref="A572:A575"/>
    <mergeCell ref="D572:D575"/>
    <mergeCell ref="A494:A497"/>
    <mergeCell ref="D494:D497"/>
    <mergeCell ref="A505:A508"/>
    <mergeCell ref="D505:D508"/>
    <mergeCell ref="A517:A520"/>
    <mergeCell ref="D517:D520"/>
    <mergeCell ref="A620:A623"/>
    <mergeCell ref="D620:D623"/>
    <mergeCell ref="A633:A636"/>
    <mergeCell ref="D633:D636"/>
    <mergeCell ref="A649:A652"/>
    <mergeCell ref="D649:D652"/>
    <mergeCell ref="A584:A587"/>
    <mergeCell ref="D584:D587"/>
    <mergeCell ref="A598:A601"/>
    <mergeCell ref="D598:D601"/>
    <mergeCell ref="A609:A612"/>
    <mergeCell ref="D609:D612"/>
    <mergeCell ref="A729:A732"/>
    <mergeCell ref="D729:D732"/>
    <mergeCell ref="A693:A696"/>
    <mergeCell ref="D693:D696"/>
    <mergeCell ref="A706:A709"/>
    <mergeCell ref="D706:D709"/>
    <mergeCell ref="A718:A721"/>
    <mergeCell ref="D718:D721"/>
    <mergeCell ref="A660:A663"/>
    <mergeCell ref="D660:D663"/>
    <mergeCell ref="A671:A674"/>
    <mergeCell ref="D671:D674"/>
    <mergeCell ref="A682:A685"/>
    <mergeCell ref="D682:D685"/>
  </mergeCells>
  <dataValidations count="12">
    <dataValidation type="decimal" operator="greaterThan" allowBlank="1" showInputMessage="1" showErrorMessage="1" sqref="D3914:E3931 D2326:E2328 D2339:E2340 D2351:E2351 D2362:E2420 D2431:E2443 D2454:E2455 D2479:E2479 D2466:E2468 D2490:E2492 D2503:E2504 D2515:E2516 D2527:E2527 D2538:E2539 D2550:E2556 D2567:E2567 D2578:E2578 D2589:E2589 D2600:E2600 D2611:E2611 D2622:E2622 D2633:E2633 D2644:E2645 D2656:E2656 D2667:E2667 D2678:E2678 D2689:E2689 D2700:E2700 D2711:E2712 D2723:E2723 D2734:E2734 D2745:E2752 D2763:E2763 D2774:E2774 D2785:E2785 D2796:E2796 D2807:E2809 D2820:E2841 D2852:E2852 D2863:E2863 D2874:E2874 D2885:E2886 D2897:E2897 D2908:E2908 D2919:E2919 D2930:E2945 D2956:E2966 D2977:E2978 D2989:E2990 D3001:E3001 D3012:E3012 D3023:E3023 D3034:E3034 D3045:E3045 D3056:E3058 D3069:E3069 D3080:E3080 D3091:E3091 D3102:E3105 D3116:E3116 D3127:E3127 D3138:E3138 D3149:E3159 D3170:E3170 D3181:E3187 D3198:E3221 D3232:E3236 D3247:E3249 D3260:E3266 D3277:E3277 D3288:E3289 D3300:E3300 D3311:E3311 D3322:E3322 D3333:E3333 D3344:E3357 D3368:E3371 D3382:E3395 D3406:E3407 D3418:E3431 D3460:E3473 D3442:E3449 D3484:E3494 D3505:E3505 D3516:E3526 D3537:E3550 D3561:E3561 D3572:E3572 D3583:E3593 D3604:E3604 D3615:E3615 D3626:E3639 D3650:E3651 D3662:E3662 D3673:E3683 D3863:E3880 D3722:E3723 D3694:E3711 D3774:E3774 D3762:E3763 D3942:E3942 D3813:E3813 D3785:E3802 D3852:E3852 D3824:E3841 D3891:E3892 D3903:E3903 D3734:E3751 D5541:E5558 D3953:E3955 D3966:E3967 D3978:E3978 D3989:E4047 D4058:E4070 D4081:E4082 D4106:E4106 D4093:E4095 D4117:E4119 D4130:E4131 D4142:E4143 D4154:E4154 D4165:E4166 D4177:E4183 D4194:E4194 D4205:E4205 D4216:E4216 D4227:E4227 D4238:E4238 D4249:E4249 D4260:E4260 D4271:E4272 D4283:E4283 D4294:E4294 D4305:E4305 D4316:E4316 D4327:E4327 D4338:E4339 D4350:E4350 D4361:E4361 D4372:E4379 D4390:E4390 D4401:E4401 D4412:E4412 D4423:E4423 D4434:E4436 D4447:E4468 D4479:E4479 D4490:E4490 D4501:E4501 D4512:E4513 D4524:E4524 D4535:E4535 D4546:E4546 D4557:E4572 D4583:E4593 D4604:E4605 D4616:E4617 D4628:E4628 D4639:E4639 D4650:E4650 D4661:E4661 D4672:E4672 D4683:E4685 D4696:E4696 D4707:E4707 D4718:E4718 D4729:E4732 D4743:E4743 D4754:E4754 D4765:E4765 D4776:E4786 D4797:E4797 D4808:E4814 D4825:E4848 D4859:E4863 D4874:E4876 D4887:E4893 D4904:E4904 D4915:E4916 D4927:E4927 D4938:E4938 D4949:E4949 D4960:E4960 D4971:E4984 D4995:E4998 D5009:E5022 D5033:E5034 D5045:E5058 D5087:E5100 D5069:E5076 D5111:E5121 D5132:E5132 D5143:E5153 D5164:E5177 D5188:E5188 D5199:E5199 D5210:E5220 D5231:E5231 D5242:E5242 D5253:E5266 D5277:E5278 D5289:E5289 D5300:E5310 D5490:E5507 D5349:E5350 D5321:E5338 D5401:E5401 D5389:E5390 D5569:E5569 D5440:E5440 D5412:E5429 D5479:E5479 D5451:E5468 D5518:E5519 D5530:E5530 D5361:E5378 D7168:E7185 D5580:E5582 D5593:E5594 D5605:E5605 D5616:E5674 D5685:E5697 D5708:E5709 D5733:E5733 D5720:E5722 D5744:E5746 D5757:E5758 D5769:E5770 D5781:E5781 D5792:E5793 D5804:E5810 D5821:E5821 D5832:E5832 D5843:E5843 D5854:E5854 D5865:E5865 D5876:E5876 D5887:E5887 D5898:E5899 D5910:E5910 D5921:E5921 D5932:E5932 D5943:E5943 D5954:E5954 D5965:E5966 D5977:E5977 D5988:E5988 D5999:E6006 D6017:E6017 D6028:E6028 D6039:E6039 D6050:E6050 D6061:E6063 D6074:E6095 D6106:E6106 D6117:E6117 D6128:E6128 D6139:E6140 D6151:E6151 D6162:E6162 D6173:E6173 D6184:E6199 D6210:E6220 D6231:E6232 D6243:E6244 D6255:E6255 D6266:E6266 D6277:E6277 D6288:E6288 D6299:E6299 D6310:E6312 D6323:E6323 D6334:E6334 D6345:E6345 D6356:E6359 D6370:E6370 D6381:E6381 D6392:E6392 D6403:E6413 D6424:E6424 D6435:E6441 D6452:E6475 D6486:E6490 D6501:E6503 D6514:E6520 D6531:E6531 D6542:E6543 D6554:E6554 D6565:E6565 D6576:E6576 D6587:E6587 D6598:E6611 D6622:E6625 D6636:E6649 D6660:E6661 D6672:E6685 D6714:E6727 D6696:E6703 D6738:E6748 D6759:E6759 D6770:E6780 D6791:E6804 D6815:E6815 D6826:E6826 D6837:E6847 D6858:E6858 D6869:E6869 D6880:E6893 D6904:E6905 D6916:E6916 D6927:E6937 D7117:E7134 D6976:E6977 D6948:E6965 D7028:E7028 D7016:E7017 D7196:E7196 D7067:E7067 D7039:E7056 D7106:E7106 D7078:E7095 D7145:E7146 D7157:E7157 D6988:E7005 D23:E23">
      <formula1>0</formula1>
    </dataValidation>
    <dataValidation type="list" allowBlank="1" showInputMessage="1" showErrorMessage="1" sqref="C3914:C3931 C2326:C2328 C2339:C2340 C2351 C2362:C2420 C2431:C2443 C2454:C2455 C2479 C2466:C2468 C2490:C2492 C2503:C2504 C2515:C2516 C2527 C2538:C2539 C2550:C2556 C2567 C2578 C2589 C2600 C2611 C2622 C2633 C2644:C2645 C2656 C2667 C2678 C2689 C2700 C2711:C2712 C2723 C2734 C2745:C2752 C2763 C2774 C2785 C2796 C2807:C2809 C2820:C2841 C2852 C2863 C2874 C2885:C2886 C2897 C2908 C2919 C2930:C2945 C2956:C2966 C2977:C2978 C2989:C2990 C3001 C3012 C3023 C3034 C3045 C3056:C3058 C3069 C3080 C3091 C3102:C3105 C3116 C3127 C3138 C3149:C3159 C3170 C3181:C3187 C3198:C3221 C3232:C3236 C3247:C3249 C3260:C3266 C3277 C3288:C3289 C3300 C3311 C3322 C3333 C3344:C3357 C3368:C3371 C3382:C3395 C3406:C3407 C3418:C3431 C3460:C3473 C3442:C3449 C3484:C3494 C3505 C3516:C3526 C3537:C3550 C3561 C3572 C3583:C3593 C3604 C3615 C3626:C3639 C3650:C3651 C3662 C3673:C3683 C3863:C3880 C3722:C3723 C3694:C3711 C3774 C3762:C3763 C3942 C3813 C3785:C3802 C3852 C3824:C3841 C3891:C3892 C3903 C3734:C3751 C5541:C5558 C3953:C3955 C3966:C3967 C3978 C3989:C4047 C4058:C4070 C4081:C4082 C4106 C4093:C4095 C4117:C4119 C4130:C4131 C4142:C4143 C4154 C4165:C4166 C4177:C4183 C4194 C4205 C4216 C4227 C4238 C4249 C4260 C4271:C4272 C4283 C4294 C4305 C4316 C4327 C4338:C4339 C4350 C4361 C4372:C4379 C4390 C4401 C4412 C4423 C4434:C4436 C4447:C4468 C4479 C4490 C4501 C4512:C4513 C4524 C4535 C4546 C4557:C4572 C4583:C4593 C4604:C4605 C4616:C4617 C4628 C4639 C4650 C4661 C4672 C4683:C4685 C4696 C4707 C4718 C4729:C4732 C4743 C4754 C4765 C4776:C4786 C4797 C4808:C4814 C4825:C4848 C4859:C4863 C4874:C4876 C4887:C4893 C4904 C4915:C4916 C4927 C4938 C4949 C4960 C4971:C4984 C4995:C4998 C5009:C5022 C5033:C5034 C5045:C5058 C5087:C5100 C5069:C5076 C5111:C5121 C5132 C5143:C5153 C5164:C5177 C5188 C5199 C5210:C5220 C5231 C5242 C5253:C5266 C5277:C5278 C5289 C5300:C5310 C5490:C5507 C5349:C5350 C5321:C5338 C5401 C5389:C5390 C5569 C5440 C5412:C5429 C5479 C5451:C5468 C5518:C5519 C5530 C5361:C5378 C7168:C7185 C5580:C5582 C5593:C5594 C5605 C5616:C5674 C5685:C5697 C5708:C5709 C5733 C5720:C5722 C5744:C5746 C5757:C5758 C5769:C5770 C5781 C5792:C5793 C5804:C5810 C5821 C5832 C5843 C5854 C5865 C5876 C5887 C5898:C5899 C5910 C5921 C5932 C5943 C5954 C5965:C5966 C5977 C5988 C5999:C6006 C6017 C6028 C6039 C6050 C6061:C6063 C6074:C6095 C6106 C6117 C6128 C6139:C6140 C6151 C6162 C6173 C6184:C6199 C6210:C6220 C6231:C6232 C6243:C6244 C6255 C6266 C6277 C6288 C6299 C6310:C6312 C6323 C6334 C6345 C6356:C6359 C6370 C6381 C6392 C6403:C6413 C6424 C6435:C6441 C6452:C6475 C6486:C6490 C6501:C6503 C6514:C6520 C6531 C6542:C6543 C6554 C6565 C6576 C6587 C6598:C6611 C6622:C6625 C6636:C6649 C6660:C6661 C6672:C6685 C6714:C6727 C6696:C6703 C6738:C6748 C6759 C6770:C6780 C6791:C6804 C6815 C6826 C6837:C6847 C6858 C6869 C6880:C6893 C6904:C6905 C6916 C6927:C6937 C7117:C7134 C6976:C6977 C6948:C6965 C7028 C7016:C7017 C7196 C7067 C7039:C7056 C7106 C7078:C7095 C7145:C7146 C7157 C6988:C7005 C23">
      <formula1>UnidadesList</formula1>
    </dataValidation>
    <dataValidation type="whole" operator="greaterThan" allowBlank="1" showInputMessage="1" showErrorMessage="1" sqref="A3914:A3931 A2326:A2328 A2339:A2340 A2351 A2362:A2420 A2431:A2443 A2454:A2455 A2479 A2466:A2468 A2490:A2492 A2503:A2504 A2515:A2516 A2527 A2538:A2539 A2550:A2556 A2567 A2578 A2589 A2600 A2611 A2622 A2633 A2644:A2645 A2656 A2667 A2678 A2689 A2700 A2711:A2712 A2723 A2734 A2745:A2752 A2763 A2774 A2785 A2796 A2807:A2809 A2820:A2841 A2852 A2863 A2874 A2885:A2886 A2897 A2908 A2919 A2930:A2945 A2956:A2966 A2977:A2978 A2989:A2990 A3001 A3012 A3023 A3034 A3045 A3056:A3058 A3069 A3080 A3091 A3102:A3105 A3116 A3127 A3138 A3149:A3159 A3170 A3181:A3187 A3198:A3221 A3232:A3236 A3247:A3249 A3260:A3266 A3277 A3288:A3289 A3300 A3311 A3322 A3333 A3344:A3357 A3368:A3371 A3382:A3395 A3406:A3407 A3418:A3431 A3460:A3473 A3442:A3449 A3484:A3494 A3505 A3516:A3526 A3537:A3550 A3561 A3572 A3583:A3593 A3604 A3615 A3626:A3639 A3650:A3651 A3662 A3673:A3683 A3863:A3880 A3722:A3723 A3694:A3711 A3774 A3762:A3763 A3942 A3813 A3785:A3802 A3852 A3824:A3841 A3891:A3892 A3903 A3734:A3751 A5541:A5558 A3953:A3955 A3966:A3967 A3978 A3989:A4047 A4058:A4070 A4081:A4082 A4106 A4093:A4095 A4117:A4119 A4130:A4131 A4142:A4143 A4154 A4165:A4166 A4177:A4183 A4194 A4205 A4216 A4227 A4238 A4249 A4260 A4271:A4272 A4283 A4294 A4305 A4316 A4327 A4338:A4339 A4350 A4361 A4372:A4379 A4390 A4401 A4412 A4423 A4434:A4436 A4447:A4468 A4479 A4490 A4501 A4512:A4513 A4524 A4535 A4546 A4557:A4572 A4583:A4593 A4604:A4605 A4616:A4617 A4628 A4639 A4650 A4661 A4672 A4683:A4685 A4696 A4707 A4718 A4729:A4732 A4743 A4754 A4765 A4776:A4786 A4797 A4808:A4814 A4825:A4848 A4859:A4863 A4874:A4876 A4887:A4893 A4904 A4915:A4916 A4927 A4938 A4949 A4960 A4971:A4984 A4995:A4998 A5009:A5022 A5033:A5034 A5045:A5058 A5087:A5100 A5069:A5076 A5111:A5121 A5132 A5143:A5153 A5164:A5177 A5188 A5199 A5210:A5220 A5231 A5242 A5253:A5266 A5277:A5278 A5289 A5300:A5310 A5490:A5507 A5349:A5350 A5321:A5338 A5401 A5389:A5390 A5569 A5440 A5412:A5429 A5479 A5451:A5468 A5518:A5519 A5530 A5361:A5378 A7168:A7185 A5580:A5582 A5593:A5594 A5605 A5616:A5674 A5685:A5697 A5708:A5709 A5733 A5720:A5722 A5744:A5746 A5757:A5758 A5769:A5770 A5781 A5792:A5793 A5804:A5810 A5821 A5832 A5843 A5854 A5865 A5876 A5887 A5898:A5899 A5910 A5921 A5932 A5943 A5954 A5965:A5966 A5977 A5988 A5999:A6006 A6017 A6028 A6039 A6050 A6061:A6063 A6074:A6095 A6106 A6117 A6128 A6139:A6140 A6151 A6162 A6173 A6184:A6199 A6210:A6220 A6231:A6232 A6243:A6244 A6255 A6266 A6277 A6288 A6299 A6310:A6312 A6323 A6334 A6345 A6356:A6359 A6370 A6381 A6392 A6403:A6413 A6424 A6435:A6441 A6452:A6475 A6486:A6490 A6501:A6503 A6514:A6520 A6531 A6542:A6543 A6554 A6565 A6576 A6587 A6598:A6611 A6622:A6625 A6636:A6649 A6660:A6661 A6672:A6685 A6714:A6727 A6696:A6703 A6738:A6748 A6759 A6770:A6780 A6791:A6804 A6815 A6826 A6837:A6847 A6858 A6869 A6880:A6893 A6904:A6905 A6916 A6927:A6937 A7117:A7134 A6976:A6977 A6948:A6965 A7028 A7016:A7017 A7196 A7067 A7039:A7056 A7106 A7078:A7095 A7145:A7146 A7157 A6988:A7005 A23">
      <formula1>0</formula1>
    </dataValidation>
    <dataValidation type="list" allowBlank="1" showInputMessage="1" showErrorMessage="1" sqref="F2323 F2336 F2348 F2359 F2428 F2451 F2463 F2476 F2487 F2500 F2512 F2524 F2535 F2547 F2564 F2575 F2586 F2597 F2608 F2619 F2630 F2641 F2653 F2664 F2675 F2686 F2697 F2708 F2720 F2731 F2742 F2760 F2771 F2782 F2793 F2804 F2817 F2849 F2860 F2871 F2882 F2894 F2905 F2916 F2927 F2953 F2974 F2986 F2998 F3009 F3020 F3031 F3042 F3053 F3066 F3077 F3088 F3099 F3113 F3124 F3135 F3146 F3167 F3178 F3195 F3229 F3244 F3257 F3274 F3285 F3297 F3308 F3319 F3330 F3341 F3365 F3379 F3403 F3415 F3439 F3457 F3481 F3502 F3513 F3534 F3558 F3569 F3580 F3601 F3612 F3623 F3647 F3659 F3670 F3691 F3719 F3731 F3759 F3771 F3782 F3810 F3821 F3849 F3860 F3888 F3900 F3911 F3939 F3950 F3963 F3975 F3986 F4055 F4078 F4090 F4103 F4114 F4127 F4139 F4151 F4162 F4174 F4191 F4202 F4213 F4224 F4235 F4246 F4257 F4268 F4280 F4291 F4302 F4313 F4324 F4335 F4347 F4358 F4369 F4387 F4398 F4409 F4420 F4431 F4444 F4476 F4487 F4498 F4509 F4521 F4532 F4543 F4554 F4580 F4601 F4613 F4625 F4636 F4647 F4658 F4669 F4680 F4693 F4704 F4715 F4726 F4740 F4751 F4762 F4773 F4794 F4805 F4822 F4856 F4871 F4884 F4901 F4912 F4924 F4935 F4946 F4957 F4968 F4992 F5006 F5030 F5042 F5066 F5084 F5108 F5129 F5140 F5161 F5185 F5196 F5207 F5228 F5239 F5250 F5274 F5286 F5297 F5318 F5346 F5358 F5386 F5398 F5409 F5437 F5448 F5476 F5487 F5515 F5527 F5538 F5566 F5577 F5590 F5602 F5613 F5682 F5705 F5717 F5730 F5741 F5754 F5766 F5778 F5789 F5801 F5818 F5829 F5840 F5851 F5862 F5873 F5884 F5895 F5907 F5918 F5929 F5940 F5951 F5962 F5974 F5985 F5996 F6014 F6025 F6036 F6047 F6058 F6071 F6103 F6114 F6125 F6136 F6148 F6159 F6170 F6181 F6207 F6228 F6240 F6252 F6263 F6274 F6285 F6296 F6307 F6320 F6331 F6342 F6353 F6367 F6378 F6389 F6400 F6421 F6432 F6449 F6483 F6498 F6511 F6528 F6539 F6551 F6562 F6573 F6584 F6595 F6619 F6633 F6657 F6669 F6693 F6711 F6735 F6756 F6767 F6788 F6812 F6823 F6834 F6855 F6866 F6877 F6901 F6913 F6924 F6945 F6973 F6985 F7013 F7025 F7036 F7064 F7075 F7103 F7114 F7142 F7154 F7165 F7193 F20">
      <formula1>OFFSET(MunicipioStart,MATCH(INDIRECT(ADDRESS(ROW()-1,COLUMN(),4)),MunicipioColumn,0)-1,1,COUNTIF(MunicipioColumn,INDIRECT(ADDRESS(ROW()-1,COLUMN(),4))),1)</formula1>
    </dataValidation>
    <dataValidation type="list" allowBlank="1" showInputMessage="1" showErrorMessage="1" sqref="F2322 F2335 F2347 F2358 F2427 F2450 F2462 F2475 F2486 F2499 F2511 F2523 F2534 F2546 F2563 F2574 F2585 F2596 F2607 F2618 F2629 F2640 F2652 F2663 F2674 F2685 F2696 F2707 F2719 F2730 F2741 F2759 F2770 F2781 F2792 F2803 F2816 F2848 F2859 F2870 F2881 F2893 F2904 F2915 F2926 F2952 F2973 F2985 F2997 F3008 F3019 F3030 F3041 F3052 F3065 F3076 F3087 F3098 F3112 F3123 F3134 F3145 F3166 F3177 F3194 F3228 F3243 F3256 F3273 F3284 F3296 F3307 F3318 F3329 F3340 F3364 F3378 F3402 F3414 F3438 F3456 F3480 F3501 F3512 F3533 F3557 F3568 F3579 F3600 F3611 F3622 F3646 F3658 F3669 F3690 F3718 F3730 F3758 F3770 F3781 F3809 F3820 F3848 F3859 F3887 F3899 F3910 F3938 F3949 F3962 F3974 F3985 F4054 F4077 F4089 F4102 F4113 F4126 F4138 F4150 F4161 F4173 F4190 F4201 F4212 F4223 F4234 F4245 F4256 F4267 F4279 F4290 F4301 F4312 F4323 F4334 F4346 F4357 F4368 F4386 F4397 F4408 F4419 F4430 F4443 F4475 F4486 F4497 F4508 F4520 F4531 F4542 F4553 F4579 F4600 F4612 F4624 F4635 F4646 F4657 F4668 F4679 F4692 F4703 F4714 F4725 F4739 F4750 F4761 F4772 F4793 F4804 F4821 F4855 F4870 F4883 F4900 F4911 F4923 F4934 F4945 F4956 F4967 F4991 F5005 F5029 F5041 F5065 F5083 F5107 F5128 F5139 F5160 F5184 F5195 F5206 F5227 F5238 F5249 F5273 F5285 F5296 F5317 F5345 F5357 F5385 F5397 F5408 F5436 F5447 F5475 F5486 F5514 F5526 F5537 F5565 F5576 F5589 F5601 F5612 F5681 F5704 F5716 F5729 F5740 F5753 F5765 F5777 F5788 F5800 F5817 F5828 F5839 F5850 F5861 F5872 F5883 F5894 F5906 F5917 F5928 F5939 F5950 F5961 F5973 F5984 F5995 F6013 F6024 F6035 F6046 F6057 F6070 F6102 F6113 F6124 F6135 F6147 F6158 F6169 F6180 F6206 F6227 F6239 F6251 F6262 F6273 F6284 F6295 F6306 F6319 F6330 F6341 F6352 F6366 F6377 F6388 F6399 F6420 F6431 F6448 F6482 F6497 F6510 F6527 F6538 F6550 F6561 F6572 F6583 F6594 F6618 F6632 F6656 F6668 F6692 F6710 F6734 F6755 F6766 F6787 F6811 F6822 F6833 F6854 F6865 F6876 F6900 F6912 F6923 F6944 F6972 F6984 F7012 F7024 F7035 F7063 F7074 F7102 F7113 F7141 F7153 F7164 F7192 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321 F2334 F2346 F2357 F2426 F2449 F2461 F2474 F2485 F2498 F2510 F2522 F2533 F2545 F2562 F2573 F2584 F2595 F2606 F2617 F2628 F2639 F2651 F2662 F2673 F2684 F2695 F2706 F2718 F2729 F2740 F2758 F2769 F2780 F2791 F2802 F2815 F2847 F2858 F2869 F2880 F2892 F2903 F2914 F2925 F2951 F2972 F2984 F2996 F3007 F3018 F3029 F3040 F3051 F3064 F3075 F3086 F3097 F3111 F3122 F3133 F3144 F3165 F3176 F3193 F3227 F3242 F3255 F3272 F3283 F3295 F3306 F3317 F3328 F3339 F3363 F3377 F3401 F3413 F3437 F3455 F3479 F3500 F3511 F3532 F3556 F3567 F3578 F3599 F3610 F3621 F3645 F3657 F3668 F3689 F3717 F3729 F3757 F3769 F3780 F3808 F3819 F3847 F3858 F3886 F3898 F3909 F3937 F3948 F3961 F3973 F3984 F4053 F4076 F4088 F4101 F4112 F4125 F4137 F4149 F4160 F4172 F4189 F4200 F4211 F4222 F4233 F4244 F4255 F4266 F4278 F4289 F4300 F4311 F4322 F4333 F4345 F4356 F4367 F4385 F4396 F4407 F4418 F4429 F4442 F4474 F4485 F4496 F4507 F4519 F4530 F4541 F4552 F4578 F4599 F4611 F4623 F4634 F4645 F4656 F4667 F4678 F4691 F4702 F4713 F4724 F4738 F4749 F4760 F4771 F4792 F4803 F4820 F4854 F4869 F4882 F4899 F4910 F4922 F4933 F4944 F4955 F4966 F4990 F5004 F5028 F5040 F5064 F5082 F5106 F5127 F5138 F5159 F5183 F5194 F5205 F5226 F5237 F5248 F5272 F5284 F5295 F5316 F5344 F5356 F5384 F5396 F5407 F5435 F5446 F5474 F5485 F5513 F5525 F5536 F5564 F5575 F5588 F5600 F5611 F5680 F5703 F5715 F5728 F5739 F5752 F5764 F5776 F5787 F5799 F5816 F5827 F5838 F5849 F5860 F5871 F5882 F5893 F5905 F5916 F5927 F5938 F5949 F5960 F5972 F5983 F5994 F6012 F6023 F6034 F6045 F6056 F6069 F6101 F6112 F6123 F6134 F6146 F6157 F6168 F6179 F6205 F6226 F6238 F6250 F6261 F6272 F6283 F6294 F6305 F6318 F6329 F6340 F6351 F6365 F6376 F6387 F6398 F6419 F6430 F6447 F6481 F6496 F6509 F6526 F6537 F6549 F6560 F6571 F6582 F6593 F6617 F6631 F6655 F6667 F6691 F6709 F6733 F6754 F6765 F6786 F6810 F6821 F6832 F6853 F6864 F6875 F6899 F6911 F6922 F6943 F6971 F6983 F7011 F7023 F7034 F7062 F7073 F7101 F7112 F7140 F7152 F7163 F7191 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320 F2333 F2345 F2356 F2425 F2448 F2460 F2473 F2484 F2497 F2509 F2521 F2532 F2544 F2561 F2572 F2583 F2594 F2605 F2616 F2627 F2638 F2650 F2661 F2672 F2683 F2694 F2705 F2717 F2728 F2739 F2757 F2768 F2779 F2790 F2801 F2814 F2846 F2857 F2868 F2879 F2891 F2902 F2913 F2924 F2950 F2971 F2983 F2995 F3006 F3017 F3028 F3039 F3050 F3063 F3074 F3085 F3096 F3110 F3121 F3132 F3143 F3164 F3175 F3192 F3226 F3241 F3254 F3271 F3282 F3294 F3305 F3316 F3327 F3338 F3362 F3376 F3400 F3412 F3436 F3454 F3478 F3499 F3510 F3531 F3555 F3566 F3577 F3598 F3609 F3620 F3644 F3656 F3667 F3688 F3716 F3728 F3756 F3768 F3779 F3807 F3818 F3846 F3857 F3885 F3897 F3908 F3936 F3947 F3960 F3972 F3983 F4052 F4075 F4087 F4100 F4111 F4124 F4136 F4148 F4159 F4171 F4188 F4199 F4210 F4221 F4232 F4243 F4254 F4265 F4277 F4288 F4299 F4310 F4321 F4332 F4344 F4355 F4366 F4384 F4395 F4406 F4417 F4428 F4441 F4473 F4484 F4495 F4506 F4518 F4529 F4540 F4551 F4577 F4598 F4610 F4622 F4633 F4644 F4655 F4666 F4677 F4690 F4701 F4712 F4723 F4737 F4748 F4759 F4770 F4791 F4802 F4819 F4853 F4868 F4881 F4898 F4909 F4921 F4932 F4943 F4954 F4965 F4989 F5003 F5027 F5039 F5063 F5081 F5105 F5126 F5137 F5158 F5182 F5193 F5204 F5225 F5236 F5247 F5271 F5283 F5294 F5315 F5343 F5355 F5383 F5395 F5406 F5434 F5445 F5473 F5484 F5512 F5524 F5535 F5563 F5574 F5587 F5599 F5610 F5679 F5702 F5714 F5727 F5738 F5751 F5763 F5775 F5786 F5798 F5815 F5826 F5837 F5848 F5859 F5870 F5881 F5892 F5904 F5915 F5926 F5937 F5948 F5959 F5971 F5982 F5993 F6011 F6022 F6033 F6044 F6055 F6068 F6100 F6111 F6122 F6133 F6145 F6156 F6167 F6178 F6204 F6225 F6237 F6249 F6260 F6271 F6282 F6293 F6304 F6317 F6328 F6339 F6350 F6364 F6375 F6386 F6397 F6418 F6429 F6446 F6480 F6495 F6508 F6525 F6536 F6548 F6559 F6570 F6581 F6592 F6616 F6630 F6654 F6666 F6690 F6708 F6732 F6753 F6764 F6785 F6809 F6820 F6831 F6852 F6863 F6874 F6898 F6910 F6921 F6942 F6970 F6982 F7010 F7022 F7033 F7061 F7072 F7100 F7111 F7139 F7151 F7162 F7190 F17">
      <formula1>IF(INDIRECT(ADDRESS(ROW()+1,COLUMN(),4))="",RegionList,INDEX(RegionColumn,MATCH(INDIRECT(ADDRESS(ROW()+1,COLUMN(),4)),ProvinciaList,0)))</formula1>
    </dataValidation>
    <dataValidation type="date" operator="greaterThanOrEqual" allowBlank="1" showInputMessage="1" showErrorMessage="1" sqref="C2322 C2335 C2347 C2358 C2427 C2450 C2462 C2475 C2486 C2499 C2511 C2523 C2534 C2546 C2563 C2574 C2585 C2596 C2607 C2618 C2629 C2640 C2652 C2663 C2674 C2685 C2696 C2707 C2719 C2730 C2741 C2759 C2770 C2781 C2792 C2803 C2816 C2848 C2859 C2870 C2881 C2893 C2904 C2915 C2926 C2952 C2973 C2985 C2997 C3008 C3019 C3030 C3041 C3052 C3065 C3076 C3087 C3098 C3112 C3123 C3134 C3145 C3166 C3177 C3194 C3228 C3243 C3256 C3273 C3284 C3296 C3307 C3318 C3329 C3340 C3364 C3378 C3402 C3414 C3438 C3456 C3480 C3501 C3512 C3533 C3557 C3568 C3579 C3600 C3611 C3622 C3646 C3658 C3669 C3690 C3718 C3730 C3758 C3770 C3781 C3809 C3820 C3848 C3859 C3887 C3899 C3910 C3938 C3949 C3962 C3974 C3985 C4054 C4077 C4089 C4102 C4113 C4126 C4138 C4150 C4161 C4173 C4190 C4201 C4212 C4223 C4234 C4245 C4256 C4267 C4279 C4290 C4301 C4312 C4323 C4334 C4346 C4357 C4368 C4386 C4397 C4408 C4419 C4430 C4443 C4475 C4486 C4497 C4508 C4520 C4531 C4542 C4553 C4579 C4600 C4612 C4624 C4635 C4646 C4657 C4668 C4679 C4692 C4703 C4714 C4725 C4739 C4750 C4761 C4772 C4793 C4804 C4821 C4855 C4870 C4883 C4900 C4911 C4923 C4934 C4945 C4956 C4967 C4991 C5005 C5029 C5041 C5065 C5083 C5107 C5128 C5139 C5160 C5184 C5195 C5206 C5227 C5238 C5249 C5273 C5285 C5296 C5317 C5345 C5357 C5385 C5397 C5408 C5436 C5447 C5475 C5486 C5514 C5526 C5537 C5565 C5576 C5589 C5601 C5612 C5681 C5704 C5716 C5729 C5740 C5753 C5765 C5777 C5788 C5800 C5817 C5828 C5839 C5850 C5861 C5872 C5883 C5894 C5906 C5917 C5928 C5939 C5950 C5961 C5973 C5984 C5995 C6013 C6024 C6035 C6046 C6057 C6070 C6102 C6113 C6124 C6135 C6147 C6158 C6169 C6180 C6206 C6227 C6239 C6251 C6262 C6273 C6284 C6295 C6306 C6319 C6330 C6341 C6352 C6366 C6377 C6388 C6399 C6420 C6431 C6448 C6482 C6497 C6510 C6527 C6538 C6550 C6561 C6572 C6583 C6594 C6618 C6632 C6656 C6668 C6692 C6710 C6734 C6755 C6766 C6787 C6811 C6822 C6833 C6854 C6865 C6876 C6900 C6912 C6923 C6944 C6972 C6984 C7012 C7024 C7035 C7063 C7074 C7102 C7113 C7141 C7153 C7164 C7192 C19">
      <formula1>C17</formula1>
    </dataValidation>
    <dataValidation type="date" operator="lessThanOrEqual" allowBlank="1" showInputMessage="1" showErrorMessage="1" sqref="C2320 C2333 C2345 C2356 C2425 C2448 C2460 C2473 C2484 C2497 C2509 C2521 C2532 C2544 C2561 C2572 C2583 C2594 C2605 C2616 C2627 C2638 C2650 C2661 C2672 C2683 C2694 C2705 C2717 C2728 C2739 C2757 C2768 C2779 C2790 C2801 C2814 C2846 C2857 C2868 C2879 C2891 C2902 C2913 C2924 C2950 C2971 C2983 C2995 C3006 C3017 C3028 C3039 C3050 C3063 C3074 C3085 C3096 C3110 C3121 C3132 C3143 C3164 C3175 C3192 C3226 C3241 C3254 C3271 C3282 C3294 C3305 C3316 C3327 C3338 C3362 C3376 C3400 C3412 C3436 C3454 C3478 C3499 C3510 C3531 C3555 C3566 C3577 C3598 C3609 C3620 C3644 C3656 C3667 C3688 C3716 C3728 C3756 C3768 C3779 C3807 C3818 C3846 C3857 C3885 C3897 C3908 C3936 C3947 C3960 C3972 C3983 C4052 C4075 C4087 C4100 C4111 C4124 C4136 C4148 C4159 C4171 C4188 C4199 C4210 C4221 C4232 C4243 C4254 C4265 C4277 C4288 C4299 C4310 C4321 C4332 C4344 C4355 C4366 C4384 C4395 C4406 C4417 C4428 C4441 C4473 C4484 C4495 C4506 C4518 C4529 C4540 C4551 C4577 C4598 C4610 C4622 C4633 C4644 C4655 C4666 C4677 C4690 C4701 C4712 C4723 C4737 C4748 C4759 C4770 C4791 C4802 C4819 C4853 C4868 C4881 C4898 C4909 C4921 C4932 C4943 C4954 C4965 C4989 C5003 C5027 C5039 C5063 C5081 C5105 C5126 C5137 C5158 C5182 C5193 C5204 C5225 C5236 C5247 C5271 C5283 C5294 C5315 C5343 C5355 C5383 C5395 C5406 C5434 C5445 C5473 C5484 C5512 C5524 C5535 C5563 C5574 C5587 C5599 C5610 C5679 C5702 C5714 C5727 C5738 C5751 C5763 C5775 C5786 C5798 C5815 C5826 C5837 C5848 C5859 C5870 C5881 C5892 C5904 C5915 C5926 C5937 C5948 C5959 C5971 C5982 C5993 C6011 C6022 C6033 C6044 C6055 C6068 C6100 C6111 C6122 C6133 C6145 C6156 C6167 C6178 C6204 C6225 C6237 C6249 C6260 C6271 C6282 C6293 C6304 C6317 C6328 C6339 C6350 C6364 C6375 C6386 C6397 C6418 C6429 C6446 C6480 C6495 C6508 C6525 C6536 C6548 C6559 C6570 C6581 C6592 C6616 C6630 C6654 C6666 C6690 C6708 C6732 C6753 C6764 C6785 C6809 C6820 C6831 C6852 C6863 C6874 C6898 C6910 C6921 C6942 C6970 C6982 C7010 C7022 C7033 C7061 C7072 C7100 C7111 C7139 C7151 C7162 C7190 C17">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pageSetup scale="55" fitToHeight="0" orientation="portrait" r:id="rId1"/>
  <drawing r:id="rId2"/>
  <legacyDrawing r:id="rId3"/>
  <tableParts count="325">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s>
  <extLst>
    <ext xmlns:x14="http://schemas.microsoft.com/office/spreadsheetml/2009/9/main" uri="{CCE6A557-97BC-4b89-ADB6-D9C93CAAB3DF}">
      <x14:dataValidations xmlns:xm="http://schemas.microsoft.com/office/excel/2006/main" count="12">
        <x14:dataValidation type="list" allowBlank="1" showInputMessage="1" showErrorMessage="1">
          <x14:formula1>
            <xm:f>'[1]Informacion '!#REF!</xm:f>
          </x14:formula1>
          <xm:sqref>E2319 E2332 E2344 E2355 E2424 E2447 E2459 E3907 E2472 E2483 E2496 E2520 E2508 E2531 E2543 E2560 E2571 E2582 E2593 E2604 E2615 E2626 E2637 E2649 E2660 E2671 E2682 E2693 E2704 E2716 E2727 E2738 E2756 E2778 E2767 E2800 E2789 E2813 E2845 E2856 E2867 E2878 E2890 E2901 E2912 E2949 E2970 E2923 E2982 E2994 E3005 E3016 E3027 E3049 E3062 E3038 E3073 E3084 E3095 E3109 E3120 E3131 E3142 E3163 E3174 E3191 E3225 E3240 E3253 E3270 E3281 E3293 E3304 E3315 E3326 E3337 E3361 E3375 E3399 E3411 E3435 E3453 E3477 E3509 E3498 E3530 E3554 E3565 E3576 E3597 E3608 E3619 E3643 E3655 E3666 E3687 E3715 E3727 E3755 E3767 E3778 E3806 E3817 E3845 E3856 E3884 E3896 E3935</xm:sqref>
        </x14:dataValidation>
        <x14:dataValidation type="list" allowBlank="1" showInputMessage="1" showErrorMessage="1">
          <x14:formula1>
            <xm:f>'[1]Informacion '!#REF!</xm:f>
          </x14:formula1>
          <xm:sqref>D2319 D2332 D2344 D2355 D2424 D2447 D2459 D2472 D2483 D2496 D2508 D2520 D2531 D2543 D2560 D2571 D2582 D2593 D2604 D2615 D2626 D2637 D2649 D2660 D2671 D2682 D2693 D2704 D2716 D2727 D2738 D2756 D2767 D2778 D2789 D2800 D2813 D2845 D2856 D2867 D2878 D2890 D2901 D2912 D2923 D2949 D2970 D2982 D2994 D3005 D3016 D3027 D3038 D3049 D3062 D3073 D3084 D3095 D3109 D3120 D3131 D3142 D3163 D3174 D3191 D3225 D3240 D3253 D3270 D3281 D3293 D3304 D3315 D3326 D3337 D3361 D3375 D3399 D3411 D3435 D3453 D3477 D3498 D3509 D3530 D3554 D3565 D3576 D3597 D3608 D3619 D3643 D3655 D3666 D3687 D3715 D3727 D3755 D3767 D3778 D3806 D3817 D3845 D3856 D3884 D3896 D3907 D3935</xm:sqref>
        </x14:dataValidation>
        <x14:dataValidation type="list" allowBlank="1" showInputMessage="1" showErrorMessage="1">
          <x14:formula1>
            <xm:f>'[1]Informacion '!#REF!</xm:f>
          </x14:formula1>
          <xm:sqref>C2319 C2332 C2344 C2355 C2424 C2447 C2459 C2472 C2483 C2496 C2508 C2520 C2531 C2543 C2560 C2571 C2582 C2593 C2604 C2615 C2626 C2637 C2649 C2660 C2671 C2682 C2693 C2704 C2716 C2727 C2738 C2756 C2767 C2778 C2789 C2800 C2813 C2845 C2856 C2867 C2878 C2890 C2901 C2912 C2923 C2949 C2970 C2982 C2994 C3005 C3016 C3027 C3038 C3049 C3062 C3073 C3084 C3095 C3109 C3120 C3131 C3142 C3163 C3174 C3191 C3225 C3240 C3253 C3270 C3281 C3293 C3304 C3315 C3326 C3337 C3361 C3375 C3399 C3411 C3435 C3453 C3477 C3498 C3509 C3530 C3554 C3565 C3576 C3597 C3608 C3619 C3643 C3655 C3666 C3687 C3715 C3727 C3755 C3767 C3778 C3806 C3817 C3845 C3856 C3884 C3896 C3907 C3935</xm:sqref>
        </x14:dataValidation>
        <x14:dataValidation type="list" allowBlank="1" showInputMessage="1" showErrorMessage="1">
          <x14:formula1>
            <xm:f>'[2]Informacion '!#REF!</xm:f>
          </x14:formula1>
          <xm:sqref>E3946 E3959 E3971 E3982 E4051 E4074 E4086 E5534 E4099 E4110 E4123 E4147 E4135 E4158 E4170 E4187 E4198 E4209 E4220 E4231 E4242 E4253 E4264 E4276 E4287 E4298 E4309 E4320 E4331 E4343 E4354 E4365 E4383 E4405 E4394 E4427 E4416 E4440 E4472 E4483 E4494 E4505 E4517 E4528 E4539 E4576 E4597 E4550 E4609 E4621 E4632 E4643 E4654 E4676 E4689 E4665 E4700 E4711 E4722 E4736 E4747 E4758 E4769 E4790 E4801 E4818 E4852 E4867 E4880 E4897 E4908 E4920 E4931 E4942 E4953 E4964 E4988 E5002 E5026 E5038 E5062 E5080 E5104 E5136 E5125 E5157 E5181 E5192 E5203 E5224 E5235 E5246 E5270 E5282 E5293 E5314 E5342 E5354 E5382 E5394 E5405 E5433 E5444 E5472 E5483 E5511 E5523 E5562</xm:sqref>
        </x14:dataValidation>
        <x14:dataValidation type="list" allowBlank="1" showInputMessage="1" showErrorMessage="1">
          <x14:formula1>
            <xm:f>'[2]Informacion '!#REF!</xm:f>
          </x14:formula1>
          <xm:sqref>D3946 D3959 D3971 D3982 D4051 D4074 D4086 D4099 D4110 D4123 D4135 D4147 D4158 D4170 D4187 D4198 D4209 D4220 D4231 D4242 D4253 D4264 D4276 D4287 D4298 D4309 D4320 D4331 D4343 D4354 D4365 D4383 D4394 D4405 D4416 D4427 D4440 D4472 D4483 D4494 D4505 D4517 D4528 D4539 D4550 D4576 D4597 D4609 D4621 D4632 D4643 D4654 D4665 D4676 D4689 D4700 D4711 D4722 D4736 D4747 D4758 D4769 D4790 D4801 D4818 D4852 D4867 D4880 D4897 D4908 D4920 D4931 D4942 D4953 D4964 D4988 D5002 D5026 D5038 D5062 D5080 D5104 D5125 D5136 D5157 D5181 D5192 D5203 D5224 D5235 D5246 D5270 D5282 D5293 D5314 D5342 D5354 D5382 D5394 D5405 D5433 D5444 D5472 D5483 D5511 D5523 D5534 D5562</xm:sqref>
        </x14:dataValidation>
        <x14:dataValidation type="list" allowBlank="1" showInputMessage="1" showErrorMessage="1">
          <x14:formula1>
            <xm:f>'[2]Informacion '!#REF!</xm:f>
          </x14:formula1>
          <xm:sqref>C3946 C3959 C3971 C3982 C4051 C4074 C4086 C4099 C4110 C4123 C4135 C4147 C4158 C4170 C4187 C4198 C4209 C4220 C4231 C4242 C4253 C4264 C4276 C4287 C4298 C4309 C4320 C4331 C4343 C4354 C4365 C4383 C4394 C4405 C4416 C4427 C4440 C4472 C4483 C4494 C4505 C4517 C4528 C4539 C4550 C4576 C4597 C4609 C4621 C4632 C4643 C4654 C4665 C4676 C4689 C4700 C4711 C4722 C4736 C4747 C4758 C4769 C4790 C4801 C4818 C4852 C4867 C4880 C4897 C4908 C4920 C4931 C4942 C4953 C4964 C4988 C5002 C5026 C5038 C5062 C5080 C5104 C5125 C5136 C5157 C5181 C5192 C5203 C5224 C5235 C5246 C5270 C5282 C5293 C5314 C5342 C5354 C5382 C5394 C5405 C5433 C5444 C5472 C5483 C5511 C5523 C5534 C5562</xm:sqref>
        </x14:dataValidation>
        <x14:dataValidation type="list" allowBlank="1" showInputMessage="1" showErrorMessage="1">
          <x14:formula1>
            <xm:f>'[3]Informacion '!#REF!</xm:f>
          </x14:formula1>
          <xm:sqref>E5573 E5586 E5598 E5609 E5678 E5701 E5713 E7161 E5726 E5737 E5750 E5774 E5762 E5785 E5797 E5814 E5825 E5836 E5847 E5858 E5869 E5880 E5891 E5903 E5914 E5925 E5936 E5947 E5958 E5970 E5981 E5992 E6010 E6032 E6021 E6054 E6043 E6067 E6099 E6110 E6121 E6132 E6144 E6155 E6166 E6203 E6224 E6177 E6236 E6248 E6259 E6270 E6281 E6303 E6316 E6292 E6327 E6338 E6349 E6363 E6374 E6385 E6396 E6417 E6428 E6445 E6479 E6494 E6507 E6524 E6535 E6547 E6558 E6569 E6580 E6591 E6615 E6629 E6653 E6665 E6689 E6707 E6731 E6763 E6752 E6784 E6808 E6819 E6830 E6851 E6862 E6873 E6897 E6909 E6920 E6941 E6969 E6981 E7009 E7021 E7032 E7060 E7071 E7099 E7110 E7138 E7150 E7189</xm:sqref>
        </x14:dataValidation>
        <x14:dataValidation type="list" allowBlank="1" showInputMessage="1" showErrorMessage="1">
          <x14:formula1>
            <xm:f>'[3]Informacion '!#REF!</xm:f>
          </x14:formula1>
          <xm:sqref>D5573 D5586 D5598 D5609 D5678 D5701 D5713 D5726 D5737 D5750 D5762 D5774 D5785 D5797 D5814 D5825 D5836 D5847 D5858 D5869 D5880 D5891 D5903 D5914 D5925 D5936 D5947 D5958 D5970 D5981 D5992 D6010 D6021 D6032 D6043 D6054 D6067 D6099 D6110 D6121 D6132 D6144 D6155 D6166 D6177 D6203 D6224 D6236 D6248 D6259 D6270 D6281 D6292 D6303 D6316 D6327 D6338 D6349 D6363 D6374 D6385 D6396 D6417 D6428 D6445 D6479 D6494 D6507 D6524 D6535 D6547 D6558 D6569 D6580 D6591 D6615 D6629 D6653 D6665 D6689 D6707 D6731 D6752 D6763 D6784 D6808 D6819 D6830 D6851 D6862 D6873 D6897 D6909 D6920 D6941 D6969 D6981 D7009 D7021 D7032 D7060 D7071 D7099 D7110 D7138 D7150 D7161 D7189</xm:sqref>
        </x14:dataValidation>
        <x14:dataValidation type="list" allowBlank="1" showInputMessage="1" showErrorMessage="1">
          <x14:formula1>
            <xm:f>'[3]Informacion '!#REF!</xm:f>
          </x14:formula1>
          <xm:sqref>C5573 C5586 C5598 C5609 C5678 C5701 C5713 C5726 C5737 C5750 C5762 C5774 C5785 C5797 C5814 C5825 C5836 C5847 C5858 C5869 C5880 C5891 C5903 C5914 C5925 C5936 C5947 C5958 C5970 C5981 C5992 C6010 C6021 C6032 C6043 C6054 C6067 C6099 C6110 C6121 C6132 C6144 C6155 C6166 C6177 C6203 C6224 C6236 C6248 C6259 C6270 C6281 C6292 C6303 C6316 C6327 C6338 C6349 C6363 C6374 C6385 C6396 C6417 C6428 C6445 C6479 C6494 C6507 C6524 C6535 C6547 C6558 C6569 C6580 C6591 C6615 C6629 C6653 C6665 C6689 C6707 C6731 C6752 C6763 C6784 C6808 C6819 C6830 C6851 C6862 C6873 C6897 C6909 C6920 C6941 C6969 C6981 C7009 C7021 C7032 C7060 C7071 C7099 C7110 C7138 C7150 C7161 C7189</xm:sqref>
        </x14:dataValidation>
        <x14:dataValidation type="list" allowBlank="1" showInputMessage="1" showErrorMessage="1">
          <x14:formula1>
            <xm:f>'[4]Informacion '!#REF!</xm:f>
          </x14:formula1>
          <xm:sqref>E16</xm:sqref>
        </x14:dataValidation>
        <x14:dataValidation type="list" allowBlank="1" showInputMessage="1" showErrorMessage="1">
          <x14:formula1>
            <xm:f>'[4]Informacion '!#REF!</xm:f>
          </x14:formula1>
          <xm:sqref>D16</xm:sqref>
        </x14:dataValidation>
        <x14:dataValidation type="list" allowBlank="1" showInputMessage="1" showErrorMessage="1">
          <x14:formula1>
            <xm:f>'[4]Informacion '!#REF!</xm:f>
          </x14:formula1>
          <xm:sqref>C16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Hoja1</vt:lpstr>
      <vt:lpstr>Hoja2</vt:lpstr>
      <vt:lpstr>Hoja3</vt:lpstr>
      <vt:lpstr>Hoja1!Área_de_impresión</vt:lpstr>
      <vt:lpstr>TotalEstColumnName</vt:lpstr>
      <vt:lpstr>TotalEstColumnValue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Alberto de la Rosa Hernandez</dc:creator>
  <cp:lastModifiedBy>Omar Alberto de la Rosa Hernandez</cp:lastModifiedBy>
  <cp:lastPrinted>2024-02-01T19:11:08Z</cp:lastPrinted>
  <dcterms:created xsi:type="dcterms:W3CDTF">2024-02-01T18:59:14Z</dcterms:created>
  <dcterms:modified xsi:type="dcterms:W3CDTF">2024-02-01T19:11:43Z</dcterms:modified>
</cp:coreProperties>
</file>